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isves-my.sharepoint.com/personal/ina_kovaliova_laisves_vilnius_lm_lt/Documents/Desktop/Individualūs planai 2024/"/>
    </mc:Choice>
  </mc:AlternateContent>
  <xr:revisionPtr revIDLastSave="30" documentId="8_{DC5B73FF-C84E-4538-B905-675FC7C36773}" xr6:coauthVersionLast="47" xr6:coauthVersionMax="47" xr10:uidLastSave="{9A70B113-62F8-4CD3-B5B1-182972554A0C}"/>
  <workbookProtection workbookAlgorithmName="SHA-512" workbookHashValue="6q3Xj6VnSWFV5TbqyEWELjGdSK8FfGJW5Z1argborifrnaNG5+MYQbK6HFDexOz95eGodVT8K1eRWs9rp7IThA==" workbookSaltValue="QjIoysx7iSXsM4rbNLtHCQ==" workbookSpinCount="100000" lockStructure="1"/>
  <bookViews>
    <workbookView xWindow="-120" yWindow="-120" windowWidth="29040" windowHeight="15840" activeTab="1" xr2:uid="{7D8BEE94-6F15-4D28-814B-C5D7DD4477D0}"/>
  </bookViews>
  <sheets>
    <sheet name="Individualus planas" sheetId="1" r:id="rId1"/>
    <sheet name="Pasirašymui" sheetId="4" r:id="rId2"/>
    <sheet name="Parametrai" sheetId="3" state="hidden" r:id="rId3"/>
  </sheets>
  <definedNames>
    <definedName name="A">Pasirašymui!$R$22:$R$23</definedName>
    <definedName name="B">Pasirašymui!$S$20:$S$22</definedName>
    <definedName name="Biologija">Pasirašymui!$Q$29:$Q$32</definedName>
    <definedName name="Chemija">Pasirašymui!$O$31:$O$34</definedName>
    <definedName name="Fizika">Pasirašymui!$P$29:$P$32</definedName>
    <definedName name="Geografija">Pasirašymui!$P$23:$P$23</definedName>
    <definedName name="Istorija">Pasirašymui!$O$24:$O$28</definedName>
    <definedName name="_xlnm.Print_Area" localSheetId="0">'Individualus planas'!$A$1:$L$34</definedName>
    <definedName name="_xlnm.Print_Area" localSheetId="1">Pasirašymui!$A$1:$G$69</definedName>
    <definedName name="val">Parametrai!$A$1:$B$50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C60" i="4"/>
  <c r="B42" i="4"/>
  <c r="H22" i="1"/>
  <c r="D52" i="4" s="1"/>
  <c r="E52" i="4" s="1"/>
  <c r="G52" i="4" s="1"/>
  <c r="H21" i="1"/>
  <c r="D51" i="4" s="1"/>
  <c r="E51" i="4" s="1"/>
  <c r="F51" i="4" s="1"/>
  <c r="U16" i="1"/>
  <c r="W34" i="1" s="1"/>
  <c r="I15" i="1"/>
  <c r="I18" i="1"/>
  <c r="I17" i="1"/>
  <c r="D57" i="4"/>
  <c r="E57" i="4" s="1"/>
  <c r="F57" i="4" s="1"/>
  <c r="B57" i="4"/>
  <c r="D48" i="4"/>
  <c r="E48" i="4" s="1"/>
  <c r="G48" i="4" s="1"/>
  <c r="D49" i="4"/>
  <c r="E49" i="4" s="1"/>
  <c r="D50" i="4"/>
  <c r="E50" i="4" s="1"/>
  <c r="D53" i="4"/>
  <c r="E53" i="4" s="1"/>
  <c r="D54" i="4"/>
  <c r="E54" i="4" s="1"/>
  <c r="D55" i="4"/>
  <c r="E55" i="4" s="1"/>
  <c r="D56" i="4"/>
  <c r="D47" i="4"/>
  <c r="E47" i="4" s="1"/>
  <c r="B48" i="4"/>
  <c r="B49" i="4"/>
  <c r="B50" i="4"/>
  <c r="B51" i="4"/>
  <c r="B52" i="4"/>
  <c r="B53" i="4"/>
  <c r="B54" i="4"/>
  <c r="B55" i="4"/>
  <c r="B56" i="4"/>
  <c r="B47" i="4"/>
  <c r="D24" i="4"/>
  <c r="W36" i="1"/>
  <c r="W37" i="1"/>
  <c r="W38" i="1"/>
  <c r="W41" i="1"/>
  <c r="W42" i="1"/>
  <c r="W43" i="1"/>
  <c r="W30" i="1"/>
  <c r="W31" i="1"/>
  <c r="W32" i="1"/>
  <c r="U18" i="1"/>
  <c r="U19" i="1"/>
  <c r="U20" i="1"/>
  <c r="U23" i="1"/>
  <c r="U24" i="1"/>
  <c r="U25" i="1"/>
  <c r="U12" i="1"/>
  <c r="U13" i="1"/>
  <c r="U14" i="1"/>
  <c r="U15" i="1"/>
  <c r="W33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25" i="1"/>
  <c r="Q26" i="1"/>
  <c r="Q27" i="1"/>
  <c r="Q24" i="1"/>
  <c r="Q23" i="1"/>
  <c r="Q22" i="1"/>
  <c r="Q19" i="1"/>
  <c r="Q20" i="1"/>
  <c r="Q21" i="1"/>
  <c r="Q18" i="1"/>
  <c r="Q15" i="1"/>
  <c r="Q16" i="1"/>
  <c r="Q17" i="1"/>
  <c r="Q12" i="1"/>
  <c r="Q13" i="1"/>
  <c r="Q14" i="1"/>
  <c r="H29" i="1"/>
  <c r="H27" i="1"/>
  <c r="I27" i="1" s="1"/>
  <c r="H26" i="1"/>
  <c r="I26" i="1" s="1"/>
  <c r="H25" i="1"/>
  <c r="I25" i="1" s="1"/>
  <c r="H24" i="1"/>
  <c r="I24" i="1" s="1"/>
  <c r="H23" i="1"/>
  <c r="I23" i="1" s="1"/>
  <c r="I11" i="1"/>
  <c r="I12" i="1"/>
  <c r="I13" i="1"/>
  <c r="I14" i="1"/>
  <c r="I16" i="1"/>
  <c r="I19" i="1"/>
  <c r="H20" i="1"/>
  <c r="I20" i="1" s="1"/>
  <c r="B29" i="1"/>
  <c r="C41" i="4"/>
  <c r="D41" i="4" s="1"/>
  <c r="E41" i="4" s="1"/>
  <c r="C42" i="4"/>
  <c r="D42" i="4" s="1"/>
  <c r="U17" i="1"/>
  <c r="W35" i="1" s="1"/>
  <c r="H19" i="1"/>
  <c r="C38" i="4"/>
  <c r="C39" i="4"/>
  <c r="C40" i="4"/>
  <c r="C37" i="4"/>
  <c r="L12" i="1"/>
  <c r="U11" i="1"/>
  <c r="U21" i="1" l="1"/>
  <c r="W39" i="1" s="1"/>
  <c r="I21" i="1"/>
  <c r="I22" i="1"/>
  <c r="U22" i="1"/>
  <c r="W40" i="1" s="1"/>
  <c r="G57" i="4"/>
  <c r="F49" i="4"/>
  <c r="G49" i="4"/>
  <c r="F55" i="4"/>
  <c r="G55" i="4"/>
  <c r="G53" i="4"/>
  <c r="F53" i="4"/>
  <c r="F54" i="4"/>
  <c r="G54" i="4"/>
  <c r="F50" i="4"/>
  <c r="G50" i="4"/>
  <c r="F47" i="4"/>
  <c r="F42" i="4"/>
  <c r="E42" i="4"/>
  <c r="U27" i="1"/>
  <c r="W45" i="1" s="1"/>
  <c r="U26" i="1"/>
  <c r="W44" i="1" s="1"/>
  <c r="E56" i="4"/>
  <c r="F56" i="4" s="1"/>
  <c r="V28" i="1" a="1"/>
  <c r="V28" i="1" s="1"/>
  <c r="V29" i="1" a="1"/>
  <c r="V29" i="1" s="1"/>
  <c r="F41" i="4"/>
  <c r="D38" i="4"/>
  <c r="D39" i="4"/>
  <c r="D40" i="4"/>
  <c r="E40" i="4" s="1"/>
  <c r="D37" i="4"/>
  <c r="D30" i="4"/>
  <c r="E30" i="4" s="1"/>
  <c r="F30" i="4" s="1"/>
  <c r="D31" i="4"/>
  <c r="E31" i="4" s="1"/>
  <c r="G31" i="4" s="1"/>
  <c r="D32" i="4"/>
  <c r="E32" i="4" s="1"/>
  <c r="D29" i="4"/>
  <c r="E29" i="4" s="1"/>
  <c r="D26" i="4"/>
  <c r="E26" i="4" s="1"/>
  <c r="D27" i="4"/>
  <c r="E27" i="4" s="1"/>
  <c r="D28" i="4"/>
  <c r="E28" i="4" s="1"/>
  <c r="D25" i="4"/>
  <c r="E25" i="4" s="1"/>
  <c r="D23" i="4"/>
  <c r="E23" i="4" s="1"/>
  <c r="E24" i="4"/>
  <c r="D22" i="4"/>
  <c r="E22" i="4" s="1"/>
  <c r="C21" i="4"/>
  <c r="F24" i="1"/>
  <c r="C20" i="4"/>
  <c r="D13" i="4"/>
  <c r="D12" i="4"/>
  <c r="D6" i="4"/>
  <c r="C66" i="4" s="1"/>
  <c r="E8" i="4"/>
  <c r="V18" i="1" l="1" a="1"/>
  <c r="V18" i="1" s="1"/>
  <c r="V20" i="1" a="1"/>
  <c r="V20" i="1" s="1"/>
  <c r="V16" i="1" a="1"/>
  <c r="V16" i="1" s="1"/>
  <c r="V23" i="1" a="1"/>
  <c r="V23" i="1" s="1"/>
  <c r="V21" i="1" a="1"/>
  <c r="V21" i="1" s="1"/>
  <c r="V19" i="1" a="1"/>
  <c r="V19" i="1" s="1"/>
  <c r="V26" i="1" a="1"/>
  <c r="V26" i="1" s="1"/>
  <c r="V27" i="1" a="1"/>
  <c r="V27" i="1" s="1"/>
  <c r="V11" i="1" a="1"/>
  <c r="V11" i="1" s="1"/>
  <c r="V15" i="1" a="1"/>
  <c r="V15" i="1" s="1"/>
  <c r="V13" i="1" a="1"/>
  <c r="V13" i="1" s="1"/>
  <c r="V14" i="1" a="1"/>
  <c r="V14" i="1" s="1"/>
  <c r="V25" i="1" a="1"/>
  <c r="V25" i="1" s="1"/>
  <c r="G56" i="4"/>
  <c r="V22" i="1" a="1"/>
  <c r="V22" i="1" s="1"/>
  <c r="V24" i="1" a="1"/>
  <c r="V24" i="1" s="1"/>
  <c r="V12" i="1" a="1"/>
  <c r="V12" i="1" s="1"/>
  <c r="V17" i="1" a="1"/>
  <c r="V17" i="1" s="1"/>
  <c r="F39" i="4"/>
  <c r="E39" i="4"/>
  <c r="F37" i="4"/>
  <c r="E37" i="4"/>
  <c r="F38" i="4"/>
  <c r="E38" i="4"/>
  <c r="F40" i="4"/>
  <c r="F27" i="4"/>
  <c r="G27" i="4"/>
  <c r="G25" i="4"/>
  <c r="F25" i="4"/>
  <c r="F29" i="4"/>
  <c r="G29" i="4"/>
  <c r="G26" i="4"/>
  <c r="F26" i="4"/>
  <c r="F28" i="4"/>
  <c r="G28" i="4"/>
  <c r="G32" i="4"/>
  <c r="F32" i="4"/>
  <c r="F31" i="4"/>
  <c r="G30" i="4"/>
  <c r="G22" i="4"/>
  <c r="F22" i="4"/>
  <c r="G24" i="4"/>
  <c r="F24" i="4"/>
  <c r="G23" i="4"/>
  <c r="F23" i="4"/>
  <c r="I10" i="1" l="1"/>
  <c r="W29" i="1"/>
  <c r="S14" i="1"/>
  <c r="S27" i="1"/>
  <c r="S28" i="1"/>
  <c r="S29" i="1"/>
  <c r="S21" i="1"/>
  <c r="S22" i="1"/>
  <c r="S20" i="1"/>
  <c r="S17" i="1"/>
  <c r="S19" i="1"/>
  <c r="S12" i="1"/>
  <c r="S13" i="1"/>
  <c r="Q11" i="1"/>
  <c r="K12" i="1"/>
  <c r="K11" i="1"/>
  <c r="K10" i="1"/>
  <c r="F29" i="1"/>
  <c r="F30" i="1"/>
  <c r="F28" i="1"/>
  <c r="F26" i="1"/>
  <c r="F25" i="1"/>
  <c r="A2" i="1"/>
  <c r="F27" i="1"/>
  <c r="F19" i="1"/>
  <c r="F14" i="1"/>
  <c r="F10" i="1"/>
  <c r="F12" i="1"/>
  <c r="F13" i="1"/>
  <c r="F15" i="1"/>
  <c r="F16" i="1"/>
  <c r="F17" i="1"/>
  <c r="F18" i="1"/>
  <c r="F20" i="1"/>
  <c r="F21" i="1"/>
  <c r="F22" i="1"/>
  <c r="F23" i="1"/>
  <c r="F11" i="1"/>
  <c r="C11" i="1"/>
  <c r="E13" i="4" s="1"/>
  <c r="C10" i="1"/>
  <c r="H7" i="1" s="1"/>
  <c r="S16" i="1" l="1"/>
  <c r="S25" i="1"/>
  <c r="E12" i="4"/>
  <c r="G12" i="4" s="1"/>
  <c r="F63" i="4" s="1"/>
  <c r="F13" i="4"/>
  <c r="G13" i="4"/>
  <c r="E33" i="1"/>
  <c r="L11" i="1"/>
  <c r="L10" i="1"/>
  <c r="S11" i="1"/>
  <c r="J11" i="1"/>
  <c r="J12" i="1" s="1"/>
  <c r="S18" i="1"/>
  <c r="S23" i="1"/>
  <c r="S24" i="1"/>
  <c r="S26" i="1"/>
  <c r="V30" i="1" a="1"/>
  <c r="V30" i="1" s="1"/>
  <c r="S15" i="1"/>
  <c r="V31" i="1" a="1"/>
  <c r="V31" i="1" s="1"/>
  <c r="T16" i="1" l="1" a="1"/>
  <c r="T16" i="1" s="1"/>
  <c r="T19" i="1" a="1"/>
  <c r="T19" i="1" s="1"/>
  <c r="T24" i="1" a="1"/>
  <c r="T24" i="1" s="1"/>
  <c r="T27" i="1" a="1"/>
  <c r="T27" i="1" s="1"/>
  <c r="W27" i="1" s="1"/>
  <c r="T21" i="1" a="1"/>
  <c r="T21" i="1" s="1"/>
  <c r="T14" i="1" a="1"/>
  <c r="T14" i="1" s="1"/>
  <c r="T17" i="1" a="1"/>
  <c r="T17" i="1" s="1"/>
  <c r="W17" i="1" s="1"/>
  <c r="T22" i="1" a="1"/>
  <c r="T22" i="1" s="1"/>
  <c r="W22" i="1" s="1"/>
  <c r="T25" i="1" a="1"/>
  <c r="T25" i="1" s="1"/>
  <c r="T13" i="1" a="1"/>
  <c r="T13" i="1" s="1"/>
  <c r="T12" i="1" a="1"/>
  <c r="T12" i="1" s="1"/>
  <c r="W12" i="1" s="1"/>
  <c r="T15" i="1" a="1"/>
  <c r="T15" i="1" s="1"/>
  <c r="W15" i="1" s="1"/>
  <c r="T20" i="1" a="1"/>
  <c r="T20" i="1" s="1"/>
  <c r="W20" i="1" s="1"/>
  <c r="T23" i="1" a="1"/>
  <c r="T23" i="1" s="1"/>
  <c r="W23" i="1" s="1"/>
  <c r="T11" i="1" a="1"/>
  <c r="T11" i="1" s="1"/>
  <c r="W11" i="1" s="1"/>
  <c r="T18" i="1" a="1"/>
  <c r="T18" i="1" s="1"/>
  <c r="W18" i="1" s="1"/>
  <c r="T26" i="1" a="1"/>
  <c r="T26" i="1" s="1"/>
  <c r="F12" i="4"/>
  <c r="E63" i="4" s="1"/>
  <c r="D63" i="4"/>
  <c r="W21" i="1"/>
  <c r="T29" i="1" a="1"/>
  <c r="T29" i="1" s="1"/>
  <c r="W16" i="1"/>
  <c r="T28" i="1" a="1"/>
  <c r="T28" i="1" s="1"/>
  <c r="W28" i="1" s="1"/>
  <c r="W13" i="1"/>
  <c r="W14" i="1"/>
  <c r="W19" i="1"/>
  <c r="W25" i="1"/>
  <c r="W24" i="1"/>
  <c r="W26" i="1"/>
  <c r="T30" i="1" a="1"/>
  <c r="T30" i="1" s="1"/>
  <c r="T31" i="1" a="1"/>
  <c r="T31" i="1" s="1"/>
  <c r="X14" i="1" l="1" a="1"/>
  <c r="X14" i="1" s="1"/>
  <c r="X30" i="1" a="1"/>
  <c r="X30" i="1" s="1"/>
  <c r="X16" i="1" a="1"/>
  <c r="X16" i="1" s="1"/>
  <c r="K18" i="1" s="1"/>
  <c r="X12" i="1" a="1"/>
  <c r="X12" i="1" s="1"/>
  <c r="K14" i="1" s="1"/>
  <c r="X28" i="1" a="1"/>
  <c r="X28" i="1" s="1"/>
  <c r="K30" i="1" s="1"/>
  <c r="X44" i="1" a="1"/>
  <c r="X44" i="1" s="1"/>
  <c r="X21" i="1" a="1"/>
  <c r="X21" i="1" s="1"/>
  <c r="K23" i="1" s="1"/>
  <c r="X37" i="1" a="1"/>
  <c r="X37" i="1" s="1"/>
  <c r="X32" i="1" a="1"/>
  <c r="X32" i="1" s="1"/>
  <c r="X41" i="1" a="1"/>
  <c r="X41" i="1" s="1"/>
  <c r="X39" i="1" a="1"/>
  <c r="X39" i="1" s="1"/>
  <c r="X19" i="1" a="1"/>
  <c r="X19" i="1" s="1"/>
  <c r="K21" i="1" s="1"/>
  <c r="X17" i="1" a="1"/>
  <c r="X17" i="1" s="1"/>
  <c r="K19" i="1" s="1"/>
  <c r="X33" i="1" a="1"/>
  <c r="X33" i="1" s="1"/>
  <c r="K35" i="1" s="1"/>
  <c r="X27" i="1" a="1"/>
  <c r="X27" i="1" s="1"/>
  <c r="K29" i="1" s="1"/>
  <c r="X15" i="1" a="1"/>
  <c r="X15" i="1" s="1"/>
  <c r="K17" i="1" s="1"/>
  <c r="X31" i="1" a="1"/>
  <c r="X31" i="1" s="1"/>
  <c r="X24" i="1" a="1"/>
  <c r="X24" i="1" s="1"/>
  <c r="K26" i="1" s="1"/>
  <c r="X26" i="1" a="1"/>
  <c r="X26" i="1" s="1"/>
  <c r="K28" i="1" s="1"/>
  <c r="X42" i="1" a="1"/>
  <c r="X42" i="1" s="1"/>
  <c r="X40" i="1" a="1"/>
  <c r="X40" i="1" s="1"/>
  <c r="X43" i="1" a="1"/>
  <c r="X43" i="1" s="1"/>
  <c r="X34" i="1" a="1"/>
  <c r="X34" i="1" s="1"/>
  <c r="K36" i="1" s="1"/>
  <c r="X22" i="1" a="1"/>
  <c r="X22" i="1" s="1"/>
  <c r="K24" i="1" s="1"/>
  <c r="X38" i="1" a="1"/>
  <c r="X38" i="1" s="1"/>
  <c r="X35" i="1" a="1"/>
  <c r="X35" i="1" s="1"/>
  <c r="K37" i="1" s="1"/>
  <c r="X20" i="1" a="1"/>
  <c r="X20" i="1" s="1"/>
  <c r="K22" i="1" s="1"/>
  <c r="X36" i="1" a="1"/>
  <c r="X36" i="1" s="1"/>
  <c r="X13" i="1" a="1"/>
  <c r="X13" i="1" s="1"/>
  <c r="K15" i="1" s="1"/>
  <c r="X29" i="1" a="1"/>
  <c r="X29" i="1" s="1"/>
  <c r="X45" i="1" a="1"/>
  <c r="X45" i="1" s="1"/>
  <c r="X11" i="1" a="1"/>
  <c r="X11" i="1" s="1"/>
  <c r="K13" i="1" s="1"/>
  <c r="X25" i="1" a="1"/>
  <c r="X25" i="1" s="1"/>
  <c r="K27" i="1" s="1"/>
  <c r="X23" i="1" a="1"/>
  <c r="X23" i="1" s="1"/>
  <c r="K25" i="1" s="1"/>
  <c r="X18" i="1" a="1"/>
  <c r="X18" i="1" s="1"/>
  <c r="K20" i="1" s="1"/>
  <c r="J2" i="1"/>
  <c r="K16" i="1"/>
  <c r="K34" i="1"/>
  <c r="L34" i="1" s="1"/>
  <c r="X48" i="1" a="1"/>
  <c r="X48" i="1" s="1"/>
  <c r="X46" i="1" a="1"/>
  <c r="X46" i="1" s="1"/>
  <c r="X49" i="1" a="1"/>
  <c r="X49" i="1" s="1"/>
  <c r="X47" i="1" a="1"/>
  <c r="X47" i="1" s="1"/>
  <c r="L20" i="1" l="1"/>
  <c r="L14" i="1"/>
  <c r="L15" i="1"/>
  <c r="L18" i="1"/>
  <c r="L16" i="1"/>
  <c r="L17" i="1"/>
  <c r="L19" i="1"/>
  <c r="L22" i="1"/>
  <c r="L23" i="1"/>
  <c r="L21" i="1"/>
  <c r="L13" i="1"/>
  <c r="L25" i="1"/>
  <c r="L26" i="1"/>
  <c r="J29" i="1"/>
  <c r="L29" i="1"/>
  <c r="L24" i="1"/>
  <c r="J28" i="1"/>
  <c r="L28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/>
  <c r="L27" i="1"/>
  <c r="J30" i="1"/>
  <c r="L30" i="1"/>
</calcChain>
</file>

<file path=xl/sharedStrings.xml><?xml version="1.0" encoding="utf-8"?>
<sst xmlns="http://schemas.openxmlformats.org/spreadsheetml/2006/main" count="260" uniqueCount="131">
  <si>
    <t>Įrašykite savo vardą ir pavardę:</t>
  </si>
  <si>
    <t>PRIVALOMI DALYKAI</t>
  </si>
  <si>
    <t>Lietuvių kalba ir literatūra</t>
  </si>
  <si>
    <t>Matematika</t>
  </si>
  <si>
    <t>Pasirinkite mokymosi lygį</t>
  </si>
  <si>
    <t>Fizinis ugdymas</t>
  </si>
  <si>
    <t>Privaloma socialinė-pilietinė veikla</t>
  </si>
  <si>
    <t>Užsienio kalba</t>
  </si>
  <si>
    <t xml:space="preserve">Biologija </t>
  </si>
  <si>
    <t>Chemija</t>
  </si>
  <si>
    <t xml:space="preserve">Fizika </t>
  </si>
  <si>
    <t>Informatika</t>
  </si>
  <si>
    <t xml:space="preserve">Inžinerinės technologijos </t>
  </si>
  <si>
    <t xml:space="preserve">Visuomeninis ugdymas </t>
  </si>
  <si>
    <t xml:space="preserve">Istorija </t>
  </si>
  <si>
    <t xml:space="preserve">Geografija </t>
  </si>
  <si>
    <t>Ekonomika ir verslumas</t>
  </si>
  <si>
    <t xml:space="preserve">Filosofija </t>
  </si>
  <si>
    <t>Dorinis ugdymas</t>
  </si>
  <si>
    <t>Tikyba</t>
  </si>
  <si>
    <t>Etika</t>
  </si>
  <si>
    <t>Dalyko modulis</t>
  </si>
  <si>
    <t>Etninė kultūra</t>
  </si>
  <si>
    <t>Psichologija</t>
  </si>
  <si>
    <t>Teisė</t>
  </si>
  <si>
    <t>Sveikatos ugdymas</t>
  </si>
  <si>
    <t>Rengimas šeimai</t>
  </si>
  <si>
    <t>Geografinės informacinės sistemos</t>
  </si>
  <si>
    <t>Menų istorija</t>
  </si>
  <si>
    <t>Astronomija</t>
  </si>
  <si>
    <t>Meninis ugdymas</t>
  </si>
  <si>
    <t>Dailė</t>
  </si>
  <si>
    <t>Muzika</t>
  </si>
  <si>
    <t>Šokis</t>
  </si>
  <si>
    <t xml:space="preserve">Teatras </t>
  </si>
  <si>
    <t>Medijų menas</t>
  </si>
  <si>
    <t>Taikomosios technologijos</t>
  </si>
  <si>
    <t>Brandos darbas</t>
  </si>
  <si>
    <t>A</t>
  </si>
  <si>
    <t>Netaikoma</t>
  </si>
  <si>
    <t>-</t>
  </si>
  <si>
    <t>Mokysiuos</t>
  </si>
  <si>
    <t>Pasirinktas valandų skaičius:</t>
  </si>
  <si>
    <t>Pasirinkta dalykų:</t>
  </si>
  <si>
    <r>
      <t xml:space="preserve">Rinktis reikia mažiausiai </t>
    </r>
    <r>
      <rPr>
        <b/>
        <sz val="10"/>
        <color theme="5" tint="-0.249977111117893"/>
        <rFont val="Calibri"/>
        <family val="2"/>
        <charset val="186"/>
        <scheme val="minor"/>
      </rPr>
      <t>8</t>
    </r>
    <r>
      <rPr>
        <sz val="10"/>
        <color theme="1"/>
        <rFont val="Calibri"/>
        <family val="2"/>
        <charset val="186"/>
        <scheme val="minor"/>
      </rPr>
      <t xml:space="preserve"> dalykus. Privalomų pamokų minimumas – </t>
    </r>
    <r>
      <rPr>
        <b/>
        <sz val="10"/>
        <color theme="5" tint="-0.249977111117893"/>
        <rFont val="Calibri"/>
        <family val="2"/>
        <charset val="186"/>
        <scheme val="minor"/>
      </rPr>
      <t>25</t>
    </r>
    <r>
      <rPr>
        <sz val="10"/>
        <color theme="1"/>
        <rFont val="Calibri"/>
        <family val="2"/>
        <charset val="186"/>
        <scheme val="minor"/>
      </rPr>
      <t xml:space="preserve"> val. per savaitę, maksimumas – </t>
    </r>
    <r>
      <rPr>
        <b/>
        <sz val="10"/>
        <color theme="5" tint="-0.249977111117893"/>
        <rFont val="Calibri"/>
        <family val="2"/>
        <charset val="186"/>
        <scheme val="minor"/>
      </rPr>
      <t>35</t>
    </r>
    <r>
      <rPr>
        <sz val="10"/>
        <color theme="1"/>
        <rFont val="Calibri"/>
        <family val="2"/>
        <charset val="186"/>
        <scheme val="minor"/>
      </rPr>
      <t xml:space="preserve"> val. per savaitę</t>
    </r>
  </si>
  <si>
    <r>
      <t xml:space="preserve">Pasirinkite </t>
    </r>
    <r>
      <rPr>
        <b/>
        <i/>
        <sz val="9"/>
        <color theme="4" tint="-0.249977111117893"/>
        <rFont val="Calibri"/>
        <family val="2"/>
        <charset val="186"/>
        <scheme val="minor"/>
      </rPr>
      <t>Mokysiuos</t>
    </r>
    <r>
      <rPr>
        <b/>
        <sz val="9"/>
        <color theme="9" tint="-0.249977111117893"/>
        <rFont val="Calibri"/>
        <family val="2"/>
        <charset val="186"/>
        <scheme val="minor"/>
      </rPr>
      <t xml:space="preserve"> bent prie vieno dalyko</t>
    </r>
  </si>
  <si>
    <t>Anglų kalba</t>
  </si>
  <si>
    <t>Prancūzų kalba</t>
  </si>
  <si>
    <t>Vokiečių kalba</t>
  </si>
  <si>
    <t xml:space="preserve">Profesinio mokymo programos modulis </t>
  </si>
  <si>
    <t>Eil Nr</t>
  </si>
  <si>
    <t>Valandos per savaitę</t>
  </si>
  <si>
    <t>Dalykas</t>
  </si>
  <si>
    <t>≥70 val. per dvejus mokslo metus</t>
  </si>
  <si>
    <t>Lietuvių kalba ir literatūra A lygiu</t>
  </si>
  <si>
    <t>Lietuvių kalba ir literatūra B lygiu</t>
  </si>
  <si>
    <t>Matematika A lygiu</t>
  </si>
  <si>
    <t>Matematika B lygiu</t>
  </si>
  <si>
    <t>50 val. per du metus</t>
  </si>
  <si>
    <t>Rašysiu brandos darbą</t>
  </si>
  <si>
    <t>LAISVAI PASIRENKAMIEJI DALYKAI</t>
  </si>
  <si>
    <t xml:space="preserve">    VILNIAUS „LAISVĖS“ GIMNAZIJA</t>
  </si>
  <si>
    <t>Istorija</t>
  </si>
  <si>
    <t>Direktoriui</t>
  </si>
  <si>
    <t>P R A Š Y M A S</t>
  </si>
  <si>
    <t>B1</t>
  </si>
  <si>
    <t>B2</t>
  </si>
  <si>
    <t>Mokinio vardas, pavardė:</t>
  </si>
  <si>
    <t>B</t>
  </si>
  <si>
    <t xml:space="preserve">Pildymo data: </t>
  </si>
  <si>
    <t>Geografija</t>
  </si>
  <si>
    <t xml:space="preserve"> </t>
  </si>
  <si>
    <t>Mokausi</t>
  </si>
  <si>
    <t>Kursas</t>
  </si>
  <si>
    <t>Val.</t>
  </si>
  <si>
    <t>Valandų paskirstymas</t>
  </si>
  <si>
    <t>Nesimokau</t>
  </si>
  <si>
    <t>Fizika</t>
  </si>
  <si>
    <t>Biologija</t>
  </si>
  <si>
    <t>Anglų k.</t>
  </si>
  <si>
    <t>Statyba ir medžio apdirbimas</t>
  </si>
  <si>
    <t>Tekstilė ir apranga</t>
  </si>
  <si>
    <t>Taikomasis menas, amatai ir dizainas</t>
  </si>
  <si>
    <t>nesimokau</t>
  </si>
  <si>
    <t>A lygis</t>
  </si>
  <si>
    <t>B lygis</t>
  </si>
  <si>
    <t>Rusų k.</t>
  </si>
  <si>
    <t>Vokiečių k.</t>
  </si>
  <si>
    <t>Moduliai:</t>
  </si>
  <si>
    <t>Dalykų skaičius</t>
  </si>
  <si>
    <t>Iš viso:</t>
  </si>
  <si>
    <t>Mokinys (mokinė)</t>
  </si>
  <si>
    <t>Vardas, pavardė</t>
  </si>
  <si>
    <t>Parašas</t>
  </si>
  <si>
    <t>Tėvai (globėjai)</t>
  </si>
  <si>
    <t>Privalomi dalykai:</t>
  </si>
  <si>
    <t>Dalykų grupė</t>
  </si>
  <si>
    <t>Prancūzų k.</t>
  </si>
  <si>
    <r>
      <rPr>
        <b/>
        <sz val="12"/>
        <color theme="9" tint="-0.249977111117893"/>
        <rFont val="Calibri"/>
        <family val="2"/>
        <charset val="186"/>
        <scheme val="minor"/>
      </rPr>
      <t>PRIVALOMAI PASIRENKAMIEJI DALYKAI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
</t>
    </r>
    <r>
      <rPr>
        <b/>
        <sz val="10"/>
        <color theme="9" tint="-0.249977111117893"/>
        <rFont val="Calibri"/>
        <family val="2"/>
        <charset val="186"/>
        <scheme val="minor"/>
      </rPr>
      <t>Pasirinktite bent vieną iš kiekvienos grupės</t>
    </r>
  </si>
  <si>
    <t>Privalomai pasirenkamieji dalykai:</t>
  </si>
  <si>
    <t>Laisvai pasirenkamieji dalykai:</t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</si>
  <si>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3 kl.</t>
    </r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</si>
  <si>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4 kl.</t>
    </r>
  </si>
  <si>
    <t>Vardas Pavardė</t>
  </si>
  <si>
    <r>
      <rPr>
        <b/>
        <sz val="8"/>
        <color theme="4" tint="-0.249977111117893"/>
        <rFont val="Calibri"/>
        <family val="2"/>
        <charset val="186"/>
      </rPr>
      <t>≥</t>
    </r>
    <r>
      <rPr>
        <b/>
        <sz val="8"/>
        <color theme="4" tint="-0.249977111117893"/>
        <rFont val="Calibri"/>
        <family val="2"/>
        <charset val="186"/>
        <scheme val="minor"/>
      </rPr>
      <t>70 val. per 2 m.m.</t>
    </r>
  </si>
  <si>
    <t>Įrašykite brandos darbo temą ir dalyką</t>
  </si>
  <si>
    <t>Nacionalinio saugumo ir krašto gynyba</t>
  </si>
  <si>
    <t>Biologijos tiriamosios veiklos duomenų apdorojimo metodikos</t>
  </si>
  <si>
    <t>Anglų kalbos rašymo gebėjimų ugdymas</t>
  </si>
  <si>
    <t>Fizikos modulis: Eksperimentinė fizika</t>
  </si>
  <si>
    <t>Chemijos modulis: Įvairių tipų chemijos uždavinių sprendimas</t>
  </si>
  <si>
    <t>Istorijos modulis: Istorinių šaltinių analizė</t>
  </si>
  <si>
    <t>Geografijos modulis: Geografinių skaitmeninių žemėlapių skaitymas ir analizė</t>
  </si>
  <si>
    <t>Gamtamokslinis ir technologinis ugdymas</t>
  </si>
  <si>
    <t>Visuomeninis ugdymas</t>
  </si>
  <si>
    <t>Matematikos modulis IV klasei: Probleminių uždavinių sprendimas</t>
  </si>
  <si>
    <t>Matematikos modulis III klasei: Planimetrija</t>
  </si>
  <si>
    <t>Informatikos modulis: Duomenų tyrybos, programavimo ir saugaus elgesio pradmenys</t>
  </si>
  <si>
    <t>Lietuvių k. modulis III klasei B lygiui: Lietuvių kalbos rašyba, skyryba ir kalbos vartojimas</t>
  </si>
  <si>
    <t>Lietuvių k. modulis IV klasei B lygiui: Kūrybinis rašymas</t>
  </si>
  <si>
    <t>I užsienio kalba</t>
  </si>
  <si>
    <t>III klasė</t>
  </si>
  <si>
    <t>IV klasė</t>
  </si>
  <si>
    <t>Užsienio kalba (rusų)</t>
  </si>
  <si>
    <t>Užsienio kalba (prancūzų)</t>
  </si>
  <si>
    <t>Užsienio kalba (vokiečių)</t>
  </si>
  <si>
    <t>INDIVIDUALAUS PLANO PASIRINKIMAS 2024 - 2026 m. m.</t>
  </si>
  <si>
    <t>Individualus ugdymo planas 2024-2026 m.m.</t>
  </si>
  <si>
    <t>Brandos darbo tema ir dalykas:</t>
  </si>
  <si>
    <t>Vilniaus „Laisvės“ gimnazijos</t>
  </si>
  <si>
    <t xml:space="preserve">       Prašau man leisti nuo 2024 m. rugsėjo 1 d. tęsti mokymąsi Jūsų vadovaujamos gimnazijos III-IV gimnazinėje klasėse pagal žemiau pasirinktą individualųjį ugdymo planą.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</si>
</sst>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$-FC27]yyyy\ &quot;m.&quot;\ mmmm\ d\ &quot;d.&quot;;@"/>
  </numFmts>
  <fonts count="3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4"/>
      <color theme="4"/>
      <name val="Calibri"/>
      <family val="2"/>
      <charset val="186"/>
      <scheme val="minor"/>
    </font>
    <font>
      <b/>
      <sz val="24"/>
      <color theme="4"/>
      <name val="Calibri"/>
      <family val="2"/>
      <charset val="186"/>
      <scheme val="minor"/>
    </font>
    <font>
      <b/>
      <sz val="26"/>
      <color theme="4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sz val="12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0"/>
      <color theme="9" tint="-0.24997711111789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9"/>
      <color theme="4" tint="-0.249977111117893"/>
      <name val="Calibri"/>
      <family val="2"/>
      <charset val="186"/>
      <scheme val="minor"/>
    </font>
    <font>
      <b/>
      <sz val="24"/>
      <color theme="5" tint="-0.249977111117893"/>
      <name val="Calibri"/>
      <family val="2"/>
      <charset val="186"/>
      <scheme val="minor"/>
    </font>
    <font>
      <b/>
      <sz val="10"/>
      <color theme="5" tint="-0.249977111117893"/>
      <name val="Calibri"/>
      <family val="2"/>
      <charset val="186"/>
      <scheme val="minor"/>
    </font>
    <font>
      <b/>
      <sz val="9"/>
      <color theme="9" tint="-0.249977111117893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4"/>
      <name val="Calibri"/>
      <family val="2"/>
      <charset val="186"/>
      <scheme val="minor"/>
    </font>
    <font>
      <b/>
      <sz val="10"/>
      <color theme="4"/>
      <name val="Calibri"/>
      <family val="2"/>
      <charset val="186"/>
      <scheme val="minor"/>
    </font>
    <font>
      <b/>
      <sz val="24"/>
      <color theme="9" tint="-0.249977111117893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</font>
    <font>
      <sz val="9"/>
      <color theme="4" tint="-0.249977111117893"/>
      <name val="Calibri"/>
      <family val="2"/>
      <charset val="186"/>
      <scheme val="minor"/>
    </font>
    <font>
      <sz val="9"/>
      <color theme="2" tint="-0.249977111117893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164" fontId="23" fillId="0" borderId="0" xfId="0" applyNumberFormat="1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4" fontId="23" fillId="0" borderId="0" xfId="0" quotePrefix="1" applyNumberFormat="1" applyFont="1" applyProtection="1"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right" vertical="top" wrapText="1"/>
      <protection hidden="1"/>
    </xf>
    <xf numFmtId="0" fontId="1" fillId="0" borderId="21" xfId="0" applyFont="1" applyBorder="1" applyAlignment="1" applyProtection="1">
      <alignment horizontal="center" vertical="top" wrapText="1"/>
      <protection hidden="1"/>
    </xf>
    <xf numFmtId="0" fontId="1" fillId="0" borderId="23" xfId="0" applyFont="1" applyBorder="1" applyAlignment="1" applyProtection="1">
      <alignment horizontal="center" vertical="top" wrapText="1"/>
      <protection hidden="1"/>
    </xf>
    <xf numFmtId="0" fontId="1" fillId="0" borderId="24" xfId="0" applyFont="1" applyBorder="1" applyAlignment="1" applyProtection="1">
      <alignment horizontal="center" vertical="top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7" fillId="3" borderId="26" xfId="0" applyFont="1" applyFill="1" applyBorder="1" applyAlignment="1" applyProtection="1">
      <alignment horizontal="center" vertical="center" wrapText="1"/>
      <protection hidden="1"/>
    </xf>
    <xf numFmtId="0" fontId="27" fillId="3" borderId="27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164" fontId="0" fillId="0" borderId="0" xfId="0" applyNumberForma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 wrapText="1" indent="2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30" xfId="0" applyFont="1" applyFill="1" applyBorder="1" applyAlignment="1" applyProtection="1">
      <alignment horizontal="center" vertical="center" wrapText="1"/>
      <protection hidden="1"/>
    </xf>
    <xf numFmtId="0" fontId="15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" fillId="0" borderId="0" xfId="0" applyFont="1" applyAlignment="1" applyProtection="1">
      <alignment horizontal="right" indent="2"/>
      <protection hidden="1"/>
    </xf>
    <xf numFmtId="0" fontId="2" fillId="0" borderId="0" xfId="0" applyFont="1" applyAlignment="1" applyProtection="1">
      <alignment horizontal="left" vertical="center" indent="2"/>
      <protection hidden="1"/>
    </xf>
    <xf numFmtId="0" fontId="2" fillId="0" borderId="0" xfId="0" applyFont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 indent="2"/>
      <protection hidden="1"/>
    </xf>
    <xf numFmtId="0" fontId="1" fillId="0" borderId="31" xfId="0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right" wrapText="1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6" fillId="2" borderId="37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right"/>
      <protection hidden="1"/>
    </xf>
    <xf numFmtId="0" fontId="6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right"/>
      <protection hidden="1"/>
    </xf>
    <xf numFmtId="0" fontId="6" fillId="0" borderId="42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right"/>
      <protection hidden="1"/>
    </xf>
    <xf numFmtId="0" fontId="6" fillId="0" borderId="44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31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36" fillId="3" borderId="0" xfId="0" applyFont="1" applyFill="1" applyProtection="1">
      <protection locked="0" hidden="1"/>
    </xf>
    <xf numFmtId="0" fontId="3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shrinkToFit="1"/>
      <protection hidden="1"/>
    </xf>
    <xf numFmtId="164" fontId="38" fillId="0" borderId="0" xfId="0" applyNumberFormat="1" applyFont="1" applyAlignment="1" applyProtection="1">
      <alignment horizontal="right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6" fillId="3" borderId="22" xfId="0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23" fillId="0" borderId="50" xfId="0" applyFont="1" applyBorder="1" applyProtection="1"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2" xfId="0" applyBorder="1" applyProtection="1"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48" xfId="0" applyBorder="1" applyProtection="1"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1" fillId="0" borderId="48" xfId="0" applyFont="1" applyBorder="1" applyProtection="1"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6" fillId="3" borderId="22" xfId="0" applyFont="1" applyFill="1" applyBorder="1" applyAlignment="1" applyProtection="1">
      <alignment horizontal="center"/>
      <protection hidden="1"/>
    </xf>
    <xf numFmtId="0" fontId="16" fillId="3" borderId="49" xfId="0" applyFont="1" applyFill="1" applyBorder="1" applyAlignment="1" applyProtection="1">
      <alignment horizontal="center"/>
      <protection hidden="1"/>
    </xf>
    <xf numFmtId="0" fontId="1" fillId="0" borderId="50" xfId="0" applyFont="1" applyBorder="1" applyProtection="1"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3" borderId="2" xfId="0" applyFont="1" applyFill="1" applyBorder="1" applyAlignment="1" applyProtection="1">
      <alignment horizontal="left" vertical="center" wrapText="1" indent="2"/>
      <protection locked="0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9" fillId="3" borderId="4" xfId="0" applyFont="1" applyFill="1" applyBorder="1" applyAlignment="1" applyProtection="1">
      <alignment horizontal="left" vertical="center" wrapText="1" indent="2"/>
      <protection locked="0"/>
    </xf>
    <xf numFmtId="0" fontId="9" fillId="3" borderId="5" xfId="0" applyFont="1" applyFill="1" applyBorder="1" applyAlignment="1" applyProtection="1">
      <alignment horizontal="left" vertical="center" wrapText="1" indent="2"/>
      <protection locked="0"/>
    </xf>
    <xf numFmtId="0" fontId="9" fillId="3" borderId="6" xfId="0" applyFont="1" applyFill="1" applyBorder="1" applyAlignment="1" applyProtection="1">
      <alignment horizontal="left" vertical="center" wrapText="1" indent="2"/>
      <protection locked="0"/>
    </xf>
    <xf numFmtId="0" fontId="22" fillId="0" borderId="0" xfId="0" applyFont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22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center" wrapText="1"/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3" borderId="45" xfId="0" applyFont="1" applyFill="1" applyBorder="1" applyAlignment="1" applyProtection="1">
      <alignment horizontal="right" vertical="center" indent="3"/>
      <protection hidden="1"/>
    </xf>
    <xf numFmtId="0" fontId="1" fillId="3" borderId="19" xfId="0" applyFont="1" applyFill="1" applyBorder="1" applyAlignment="1" applyProtection="1">
      <alignment horizontal="right" vertical="center" indent="3"/>
      <protection hidden="1"/>
    </xf>
    <xf numFmtId="0" fontId="1" fillId="3" borderId="55" xfId="0" applyFont="1" applyFill="1" applyBorder="1" applyAlignment="1" applyProtection="1">
      <alignment horizontal="right" vertical="center" indent="3"/>
      <protection hidden="1"/>
    </xf>
    <xf numFmtId="0" fontId="1" fillId="3" borderId="64" xfId="0" applyFont="1" applyFill="1" applyBorder="1" applyAlignment="1" applyProtection="1">
      <alignment horizontal="right" vertical="center" indent="3"/>
      <protection hidden="1"/>
    </xf>
    <xf numFmtId="0" fontId="16" fillId="3" borderId="15" xfId="0" applyFont="1" applyFill="1" applyBorder="1" applyAlignment="1" applyProtection="1">
      <alignment horizontal="center"/>
      <protection hidden="1"/>
    </xf>
    <xf numFmtId="0" fontId="16" fillId="3" borderId="16" xfId="0" applyFont="1" applyFill="1" applyBorder="1" applyAlignment="1" applyProtection="1">
      <alignment horizontal="center"/>
      <protection hidden="1"/>
    </xf>
    <xf numFmtId="0" fontId="1" fillId="0" borderId="56" xfId="0" applyFont="1" applyBorder="1" applyAlignment="1" applyProtection="1">
      <alignment horizontal="right" indent="2"/>
      <protection hidden="1"/>
    </xf>
    <xf numFmtId="0" fontId="1" fillId="0" borderId="13" xfId="0" applyFont="1" applyBorder="1" applyAlignment="1" applyProtection="1">
      <alignment horizontal="right" indent="2"/>
      <protection hidden="1"/>
    </xf>
    <xf numFmtId="0" fontId="1" fillId="0" borderId="62" xfId="0" applyFont="1" applyBorder="1" applyAlignment="1" applyProtection="1">
      <alignment horizontal="right" indent="2"/>
      <protection hidden="1"/>
    </xf>
    <xf numFmtId="0" fontId="1" fillId="0" borderId="63" xfId="0" applyFont="1" applyBorder="1" applyAlignment="1" applyProtection="1">
      <alignment horizontal="right" indent="2"/>
      <protection hidden="1"/>
    </xf>
    <xf numFmtId="0" fontId="29" fillId="0" borderId="11" xfId="0" applyFont="1" applyBorder="1" applyAlignment="1" applyProtection="1">
      <alignment horizontal="center" shrinkToFit="1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66" xfId="0" applyFont="1" applyFill="1" applyBorder="1" applyAlignment="1" applyProtection="1">
      <alignment horizontal="center" vertical="center"/>
      <protection hidden="1"/>
    </xf>
    <xf numFmtId="0" fontId="1" fillId="3" borderId="64" xfId="0" applyFont="1" applyFill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0" fillId="0" borderId="46" xfId="0" applyFont="1" applyBorder="1" applyAlignment="1" applyProtection="1">
      <alignment horizontal="right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right" indent="2"/>
      <protection hidden="1"/>
    </xf>
    <xf numFmtId="0" fontId="1" fillId="0" borderId="58" xfId="0" applyFont="1" applyBorder="1" applyAlignment="1" applyProtection="1">
      <alignment horizontal="right" indent="2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shrinkToFit="1"/>
      <protection hidden="1"/>
    </xf>
    <xf numFmtId="0" fontId="35" fillId="0" borderId="0" xfId="0" applyFont="1" applyAlignment="1" applyProtection="1">
      <alignment horizontal="center" wrapText="1"/>
      <protection hidden="1"/>
    </xf>
    <xf numFmtId="164" fontId="0" fillId="0" borderId="0" xfId="0" applyNumberFormat="1" applyAlignment="1" applyProtection="1">
      <alignment horizontal="left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45" xfId="0" applyBorder="1" applyAlignment="1" applyProtection="1">
      <alignment horizontal="left" vertical="center" wrapText="1"/>
      <protection hidden="1"/>
    </xf>
    <xf numFmtId="0" fontId="0" fillId="0" borderId="54" xfId="0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22">
    <dxf>
      <font>
        <b/>
        <i val="0"/>
      </font>
      <numFmt numFmtId="0" formatCode="General"/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92D4-65C3-4F5C-AC9D-AFDF8B353885}">
  <sheetPr>
    <tabColor theme="9" tint="-0.499984740745262"/>
  </sheetPr>
  <dimension ref="A1:Y49"/>
  <sheetViews>
    <sheetView showGridLines="0" zoomScale="130" zoomScaleNormal="130" workbookViewId="0">
      <selection activeCell="A15" sqref="A15"/>
    </sheetView>
  </sheetViews>
  <sheetFormatPr defaultRowHeight="15" x14ac:dyDescent="0.25"/>
  <cols>
    <col min="1" max="1" width="33.7109375" style="3" customWidth="1"/>
    <col min="2" max="2" width="14.7109375" style="3" customWidth="1"/>
    <col min="3" max="3" width="1.5703125" style="3" customWidth="1"/>
    <col min="4" max="4" width="40.28515625" style="3" customWidth="1"/>
    <col min="5" max="5" width="14.7109375" style="3" customWidth="1"/>
    <col min="6" max="6" width="1.7109375" style="39" customWidth="1"/>
    <col min="7" max="7" width="68.140625" style="3" bestFit="1" customWidth="1"/>
    <col min="8" max="8" width="14.7109375" style="3" customWidth="1"/>
    <col min="9" max="9" width="9.140625" style="39" customWidth="1"/>
    <col min="10" max="10" width="9.140625" style="3"/>
    <col min="11" max="11" width="71.5703125" style="3" customWidth="1"/>
    <col min="12" max="12" width="33.42578125" style="3" bestFit="1" customWidth="1"/>
    <col min="13" max="16" width="9.140625" style="3"/>
    <col min="17" max="22" width="9.140625" style="3" hidden="1" customWidth="1"/>
    <col min="23" max="23" width="9.85546875" style="3" hidden="1" customWidth="1"/>
    <col min="24" max="25" width="9.140625" style="3" hidden="1" customWidth="1"/>
    <col min="26" max="27" width="9.140625" style="3" customWidth="1"/>
    <col min="28" max="16384" width="9.140625" style="3"/>
  </cols>
  <sheetData>
    <row r="1" spans="1:24" ht="31.5" x14ac:dyDescent="0.25">
      <c r="A1" s="113" t="s">
        <v>126</v>
      </c>
      <c r="B1" s="113"/>
      <c r="C1" s="113"/>
      <c r="D1" s="113"/>
      <c r="E1" s="113"/>
      <c r="F1" s="113"/>
      <c r="G1" s="113"/>
      <c r="H1" s="113"/>
    </row>
    <row r="2" spans="1:24" ht="18.75" customHeight="1" x14ac:dyDescent="0.25">
      <c r="A2" s="114" t="str">
        <f ca="1">"Mokinys "&amp;UPPER(C4)&amp; ". Sudarymo data "&amp;TEXT(TODAY(),"yyyy-mm-dd")</f>
        <v>Mokinys VARDAS PAVARDĖ. Sudarymo data 2024-04-24</v>
      </c>
      <c r="B2" s="114"/>
      <c r="C2" s="114"/>
      <c r="D2" s="114"/>
      <c r="E2" s="114"/>
      <c r="F2" s="114"/>
      <c r="G2" s="114"/>
      <c r="H2" s="114"/>
      <c r="J2" s="112" t="str">
        <f>C4&amp;", Jūs pasirinkote mokytis "&amp;E7&amp;" dalykų. Tai sudaro "&amp;H7&amp;" val. per savaitę. Pasirinkti dalykai:"</f>
        <v>Vardas Pavardė, Jūs pasirinkote mokytis 8 dalykų. Tai sudaro 31 val. per savaitę. Pasirinkti dalykai:</v>
      </c>
      <c r="K2" s="112"/>
      <c r="L2" s="112"/>
      <c r="M2" s="40"/>
      <c r="N2" s="41"/>
      <c r="O2" s="41"/>
      <c r="P2" s="41"/>
      <c r="Q2" s="41"/>
    </row>
    <row r="3" spans="1:24" ht="4.5" customHeight="1" thickBot="1" x14ac:dyDescent="0.3">
      <c r="A3" s="42"/>
      <c r="B3" s="42"/>
      <c r="C3" s="42"/>
      <c r="D3" s="42"/>
      <c r="E3" s="42"/>
      <c r="F3" s="42"/>
      <c r="G3" s="42"/>
      <c r="H3" s="42"/>
      <c r="J3" s="112"/>
      <c r="K3" s="112"/>
      <c r="L3" s="112"/>
      <c r="M3" s="40"/>
      <c r="N3" s="41"/>
      <c r="O3" s="41"/>
      <c r="P3" s="41"/>
      <c r="Q3" s="41"/>
    </row>
    <row r="4" spans="1:24" ht="33.75" customHeight="1" thickTop="1" x14ac:dyDescent="0.25">
      <c r="A4" s="116" t="s">
        <v>0</v>
      </c>
      <c r="B4" s="116"/>
      <c r="C4" s="117" t="s">
        <v>103</v>
      </c>
      <c r="D4" s="118"/>
      <c r="E4" s="118"/>
      <c r="F4" s="119"/>
      <c r="G4" s="115" t="s">
        <v>44</v>
      </c>
      <c r="H4" s="115"/>
      <c r="J4" s="112"/>
      <c r="K4" s="112"/>
      <c r="L4" s="112"/>
      <c r="M4" s="40"/>
      <c r="N4" s="41"/>
      <c r="O4" s="41"/>
      <c r="P4" s="41"/>
      <c r="Q4" s="41"/>
    </row>
    <row r="5" spans="1:24" ht="8.25" customHeight="1" thickBot="1" x14ac:dyDescent="0.3">
      <c r="A5" s="116"/>
      <c r="B5" s="116"/>
      <c r="C5" s="120"/>
      <c r="D5" s="121"/>
      <c r="E5" s="121"/>
      <c r="F5" s="122"/>
      <c r="G5" s="115"/>
      <c r="H5" s="115"/>
      <c r="J5" s="112"/>
      <c r="K5" s="112"/>
      <c r="L5" s="112"/>
      <c r="M5" s="40"/>
      <c r="N5" s="41"/>
      <c r="O5" s="41"/>
      <c r="P5" s="41"/>
      <c r="Q5" s="41"/>
    </row>
    <row r="6" spans="1:24" ht="5.25" customHeight="1" thickTop="1" x14ac:dyDescent="0.25">
      <c r="A6" s="43"/>
      <c r="B6" s="43"/>
      <c r="C6" s="44"/>
      <c r="D6" s="44"/>
      <c r="E6" s="44"/>
      <c r="F6" s="44"/>
      <c r="G6" s="45"/>
      <c r="H6" s="45"/>
      <c r="J6" s="112"/>
      <c r="K6" s="112"/>
      <c r="L6" s="112"/>
      <c r="M6" s="40"/>
      <c r="N6" s="41"/>
      <c r="O6" s="41"/>
      <c r="P6" s="41"/>
      <c r="Q6" s="41"/>
    </row>
    <row r="7" spans="1:24" ht="30.95" customHeight="1" x14ac:dyDescent="0.25">
      <c r="D7" s="43" t="s">
        <v>43</v>
      </c>
      <c r="E7" s="67">
        <f>IF(E32="rašysiu",SUM(B15,E33,H29)+1,SUM(B15,E33,H29))</f>
        <v>8</v>
      </c>
      <c r="G7" s="43" t="s">
        <v>42</v>
      </c>
      <c r="H7" s="82">
        <f>IF(E32="rašysiu",SUM(C10:C13,F11:F13,F15:F18,F20:F23,F25:F26,F28:F31,I10:I27)+1,SUM(C10:C13,F11:F13,F15:F18,F20:F23,F25:F26,F28:F31,I10:I27))</f>
        <v>31</v>
      </c>
      <c r="J7" s="112"/>
      <c r="K7" s="112"/>
      <c r="L7" s="112"/>
      <c r="M7" s="40"/>
      <c r="N7" s="41"/>
      <c r="O7" s="41"/>
      <c r="P7" s="41"/>
      <c r="Q7" s="41"/>
    </row>
    <row r="8" spans="1:24" ht="5.25" customHeight="1" x14ac:dyDescent="0.25">
      <c r="J8" s="41"/>
      <c r="K8" s="41"/>
      <c r="L8" s="41"/>
      <c r="M8" s="41"/>
      <c r="N8" s="41"/>
      <c r="O8" s="41"/>
      <c r="P8" s="41"/>
      <c r="Q8" s="41"/>
    </row>
    <row r="9" spans="1:24" ht="47.25" customHeight="1" thickBot="1" x14ac:dyDescent="0.3">
      <c r="A9" s="46" t="s">
        <v>1</v>
      </c>
      <c r="B9" s="47" t="s">
        <v>4</v>
      </c>
      <c r="C9" s="17"/>
      <c r="D9" s="48" t="s">
        <v>98</v>
      </c>
      <c r="E9" s="49" t="s">
        <v>45</v>
      </c>
      <c r="G9" s="50" t="s">
        <v>60</v>
      </c>
      <c r="H9" s="51" t="s">
        <v>45</v>
      </c>
      <c r="J9" s="52" t="s">
        <v>50</v>
      </c>
      <c r="K9" s="53" t="s">
        <v>52</v>
      </c>
      <c r="L9" s="53" t="s">
        <v>51</v>
      </c>
      <c r="M9" s="41"/>
      <c r="N9" s="41"/>
      <c r="O9" s="41"/>
      <c r="P9" s="41"/>
      <c r="Q9" s="41"/>
    </row>
    <row r="10" spans="1:24" ht="15.75" thickTop="1" x14ac:dyDescent="0.25">
      <c r="A10" s="70" t="s">
        <v>2</v>
      </c>
      <c r="B10" s="89" t="s">
        <v>38</v>
      </c>
      <c r="C10" s="39">
        <f>IF(B10="a",6,4)</f>
        <v>6</v>
      </c>
      <c r="D10" s="110" t="s">
        <v>120</v>
      </c>
      <c r="E10" s="111"/>
      <c r="F10" s="39">
        <f>COUNTIF(E11:E13,"mokysiuos")</f>
        <v>1</v>
      </c>
      <c r="G10" s="64" t="s">
        <v>23</v>
      </c>
      <c r="H10" s="65" t="s">
        <v>40</v>
      </c>
      <c r="I10" s="39">
        <f>IF(H10="Mokysiuos",1,0)</f>
        <v>0</v>
      </c>
      <c r="J10" s="55">
        <v>1</v>
      </c>
      <c r="K10" s="56" t="str">
        <f>A10&amp;" "&amp;B10&amp;" lygiu"</f>
        <v>Lietuvių kalba ir literatūra A lygiu</v>
      </c>
      <c r="L10" s="57">
        <f t="shared" ref="L10:L34" si="0">IFERROR(VLOOKUP(K10,val,2,0),"")</f>
        <v>6</v>
      </c>
      <c r="O10" s="58"/>
    </row>
    <row r="11" spans="1:24" x14ac:dyDescent="0.25">
      <c r="A11" s="54" t="s">
        <v>3</v>
      </c>
      <c r="B11" s="34" t="s">
        <v>38</v>
      </c>
      <c r="C11" s="39">
        <f>IF(B11="a",6,4)</f>
        <v>6</v>
      </c>
      <c r="D11" s="59" t="s">
        <v>46</v>
      </c>
      <c r="E11" s="1" t="s">
        <v>41</v>
      </c>
      <c r="F11" s="39">
        <f>IF(E11="Mokysiuos",3,0)</f>
        <v>3</v>
      </c>
      <c r="G11" s="61" t="s">
        <v>24</v>
      </c>
      <c r="H11" s="35" t="s">
        <v>40</v>
      </c>
      <c r="I11" s="39">
        <f t="shared" ref="I11:I19" si="1">IF(H11="Mokysiuos",1,0)</f>
        <v>0</v>
      </c>
      <c r="J11" s="55">
        <f>IF(K11="","",J10+1)</f>
        <v>2</v>
      </c>
      <c r="K11" s="56" t="str">
        <f>A11&amp;" "&amp;B11&amp;" lygiu"</f>
        <v>Matematika A lygiu</v>
      </c>
      <c r="L11" s="57">
        <f t="shared" si="0"/>
        <v>6</v>
      </c>
      <c r="Q11" s="3" t="str">
        <f>D11</f>
        <v>Anglų kalba</v>
      </c>
      <c r="R11" s="3" t="str">
        <f>E11</f>
        <v>Mokysiuos</v>
      </c>
      <c r="S11" s="3" t="str">
        <f>IF(R11="mokysiuos",Q11,"")</f>
        <v>Anglų kalba</v>
      </c>
      <c r="T11" s="3" t="str">
        <f t="array" ref="T11">IFERROR(INDEX($S$11:$S$27,SMALL(IF($S$11:$S$27&lt;&gt;"",ROW($S$11:$S$27)-ROW($S$11)+1,""),ROW(T11)-ROW($S$11)+1)),"")</f>
        <v>Anglų kalba</v>
      </c>
      <c r="U11" s="3" t="str">
        <f>IF(H10="mokysiuos",G10,"")</f>
        <v/>
      </c>
      <c r="V11" s="3" t="str">
        <f t="array" ref="V11">IFERROR(INDEX($U$11:$U$27,SMALL(IF($U$11:$U$27&lt;&gt;"",ROW($U$11:$U$27)-ROW($U$11)+1,""),ROW(V11)-ROW($S$11)+1)),"")</f>
        <v>Matematikos modulis III klasei: Planimetrija</v>
      </c>
      <c r="W11" s="3" t="str">
        <f>T11</f>
        <v>Anglų kalba</v>
      </c>
      <c r="X11" s="3" t="str">
        <f t="array" ref="X11">IFERROR(INDEX($W$11:$W$45,SMALL(IF($W$11:$W$45&lt;&gt;"",ROW($W$11:$W$45)-ROW($W$11)+1,""),ROW(X11)-ROW($W$11)+1)),"")</f>
        <v>Anglų kalba</v>
      </c>
    </row>
    <row r="12" spans="1:24" x14ac:dyDescent="0.25">
      <c r="A12" s="54" t="s">
        <v>5</v>
      </c>
      <c r="B12" s="83" t="s">
        <v>39</v>
      </c>
      <c r="C12" s="39">
        <v>3</v>
      </c>
      <c r="D12" s="59" t="s">
        <v>47</v>
      </c>
      <c r="E12" s="1" t="s">
        <v>40</v>
      </c>
      <c r="F12" s="39">
        <f t="shared" ref="F12:F13" si="2">IF(E12="Mokysiuos",3,0)</f>
        <v>0</v>
      </c>
      <c r="G12" s="61" t="s">
        <v>28</v>
      </c>
      <c r="H12" s="35" t="s">
        <v>40</v>
      </c>
      <c r="I12" s="39">
        <f t="shared" si="1"/>
        <v>0</v>
      </c>
      <c r="J12" s="55">
        <f t="shared" ref="J12:J30" si="3">IF(K12="","",J11+1)</f>
        <v>3</v>
      </c>
      <c r="K12" s="56" t="str">
        <f>A12</f>
        <v>Fizinis ugdymas</v>
      </c>
      <c r="L12" s="57">
        <f t="shared" si="0"/>
        <v>3</v>
      </c>
      <c r="Q12" s="3" t="str">
        <f t="shared" ref="Q12:R13" si="4">D12</f>
        <v>Prancūzų kalba</v>
      </c>
      <c r="R12" s="3" t="str">
        <f t="shared" si="4"/>
        <v>-</v>
      </c>
      <c r="S12" s="3" t="str">
        <f t="shared" ref="S12:S29" si="5">IF(R12="mokysiuos",Q12,"")</f>
        <v/>
      </c>
      <c r="T12" s="3" t="str">
        <f t="array" ref="T12">IFERROR(INDEX($S$11:$S$27,SMALL(IF($S$11:$S$27&lt;&gt;"",ROW($S$11:$S$27)-ROW($S$11)+1,""),ROW(T12)-ROW($S$11)+1)),"")</f>
        <v>Chemija</v>
      </c>
      <c r="U12" s="3" t="str">
        <f t="shared" ref="U12:U15" si="6">IF(H11="mokysiuos",G11,"")</f>
        <v/>
      </c>
      <c r="V12" s="3" t="str">
        <f t="array" ref="V12">IFERROR(INDEX($U$11:$U$27,SMALL(IF($U$11:$U$27&lt;&gt;"",ROW($U$11:$U$27)-ROW($U$11)+1,""),ROW(V12)-ROW($S$11)+1)),"")</f>
        <v>Matematikos modulis IV klasei: Probleminių uždavinių sprendimas</v>
      </c>
      <c r="W12" s="3" t="str">
        <f t="shared" ref="W12:W28" si="7">T12</f>
        <v>Chemija</v>
      </c>
      <c r="X12" s="3" t="str">
        <f t="array" ref="X12">IFERROR(INDEX($W$11:$W$45,SMALL(IF($W$11:$W$45&lt;&gt;"",ROW($W$11:$W$45)-ROW($W$11)+1,""),ROW(X12)-ROW($W$11)+1)),"")</f>
        <v>Chemija</v>
      </c>
    </row>
    <row r="13" spans="1:24" ht="15" customHeight="1" thickBot="1" x14ac:dyDescent="0.3">
      <c r="A13" s="84" t="s">
        <v>6</v>
      </c>
      <c r="B13" s="85" t="s">
        <v>104</v>
      </c>
      <c r="D13" s="59" t="s">
        <v>48</v>
      </c>
      <c r="E13" s="1" t="s">
        <v>40</v>
      </c>
      <c r="F13" s="39">
        <f t="shared" si="2"/>
        <v>0</v>
      </c>
      <c r="G13" s="61" t="s">
        <v>106</v>
      </c>
      <c r="H13" s="35" t="s">
        <v>40</v>
      </c>
      <c r="I13" s="39">
        <f t="shared" si="1"/>
        <v>0</v>
      </c>
      <c r="J13" s="55">
        <f t="shared" si="3"/>
        <v>4</v>
      </c>
      <c r="K13" s="56" t="str">
        <f>IF(X11="","",X11)</f>
        <v>Anglų kalba</v>
      </c>
      <c r="L13" s="57">
        <f t="shared" si="0"/>
        <v>3</v>
      </c>
      <c r="Q13" s="3" t="str">
        <f t="shared" si="4"/>
        <v>Vokiečių kalba</v>
      </c>
      <c r="R13" s="3" t="str">
        <f t="shared" si="4"/>
        <v>-</v>
      </c>
      <c r="S13" s="3" t="str">
        <f t="shared" si="5"/>
        <v/>
      </c>
      <c r="T13" s="3" t="str">
        <f t="array" ref="T13">IFERROR(INDEX($S$11:$S$27,SMALL(IF($S$11:$S$27&lt;&gt;"",ROW($S$11:$S$27)-ROW($S$11)+1,""),ROW(T13)-ROW($S$11)+1)),"")</f>
        <v xml:space="preserve">Geografija </v>
      </c>
      <c r="U13" s="3" t="str">
        <f t="shared" si="6"/>
        <v/>
      </c>
      <c r="V13" s="3" t="str">
        <f t="array" ref="V13">IFERROR(INDEX($U$11:$U$27,SMALL(IF($U$11:$U$27&lt;&gt;"",ROW($U$11:$U$27)-ROW($U$11)+1,""),ROW(V13)-ROW($S$11)+1)),"")</f>
        <v>Anglų kalbos rašymo gebėjimų ugdymas</v>
      </c>
      <c r="W13" s="3" t="str">
        <f t="shared" si="7"/>
        <v xml:space="preserve">Geografija </v>
      </c>
      <c r="X13" s="3" t="str">
        <f t="array" ref="X13">IFERROR(INDEX($W$11:$W$45,SMALL(IF($W$11:$W$45&lt;&gt;"",ROW($W$11:$W$45)-ROW($W$11)+1,""),ROW(X13)-ROW($W$11)+1)),"")</f>
        <v xml:space="preserve">Geografija </v>
      </c>
    </row>
    <row r="14" spans="1:24" ht="15.75" thickTop="1" x14ac:dyDescent="0.25">
      <c r="D14" s="68" t="s">
        <v>113</v>
      </c>
      <c r="E14" s="69"/>
      <c r="F14" s="39">
        <f>COUNTIF(E15:E18,"mokysiuos")</f>
        <v>1</v>
      </c>
      <c r="G14" s="66" t="s">
        <v>29</v>
      </c>
      <c r="H14" s="35" t="s">
        <v>40</v>
      </c>
      <c r="I14" s="39">
        <f t="shared" si="1"/>
        <v>0</v>
      </c>
      <c r="J14" s="55">
        <f t="shared" si="3"/>
        <v>5</v>
      </c>
      <c r="K14" s="56" t="str">
        <f t="shared" ref="K14:K37" si="8">IF(X12="","",X12)</f>
        <v>Chemija</v>
      </c>
      <c r="L14" s="57">
        <f t="shared" si="0"/>
        <v>3</v>
      </c>
      <c r="Q14" s="3" t="str">
        <f>D15</f>
        <v xml:space="preserve">Biologija </v>
      </c>
      <c r="R14" s="3" t="str">
        <f>E15</f>
        <v>-</v>
      </c>
      <c r="S14" s="3" t="str">
        <f t="shared" si="5"/>
        <v/>
      </c>
      <c r="T14" s="3" t="str">
        <f t="array" ref="T14">IFERROR(INDEX($S$11:$S$27,SMALL(IF($S$11:$S$27&lt;&gt;"",ROW($S$11:$S$27)-ROW($S$11)+1,""),ROW(T14)-ROW($S$11)+1)),"")</f>
        <v>Etika</v>
      </c>
      <c r="U14" s="3" t="str">
        <f t="shared" si="6"/>
        <v/>
      </c>
      <c r="V14" s="3" t="str">
        <f t="array" ref="V14">IFERROR(INDEX($U$11:$U$27,SMALL(IF($U$11:$U$27&lt;&gt;"",ROW($U$11:$U$27)-ROW($U$11)+1,""),ROW(V14)-ROW($S$11)+1)),"")</f>
        <v>Chemijos modulis: Įvairių tipų chemijos uždavinių sprendimas</v>
      </c>
      <c r="W14" s="3" t="str">
        <f t="shared" si="7"/>
        <v>Etika</v>
      </c>
      <c r="X14" s="3" t="str">
        <f t="array" ref="X14">IFERROR(INDEX($W$11:$W$45,SMALL(IF($W$11:$W$45&lt;&gt;"",ROW($W$11:$W$45)-ROW($W$11)+1,""),ROW(X14)-ROW($W$11)+1)),"")</f>
        <v>Etika</v>
      </c>
    </row>
    <row r="15" spans="1:24" ht="15.75" thickBot="1" x14ac:dyDescent="0.3">
      <c r="B15" s="39">
        <v>3</v>
      </c>
      <c r="D15" s="59" t="s">
        <v>8</v>
      </c>
      <c r="E15" s="1" t="s">
        <v>40</v>
      </c>
      <c r="F15" s="39">
        <f>IF(E15="Mokysiuos",3,0)</f>
        <v>0</v>
      </c>
      <c r="G15" s="62" t="s">
        <v>7</v>
      </c>
      <c r="H15" s="36" t="s">
        <v>40</v>
      </c>
      <c r="I15" s="39">
        <f>IF(H15&lt;&gt;"-",2,0)</f>
        <v>0</v>
      </c>
      <c r="J15" s="55">
        <f t="shared" si="3"/>
        <v>6</v>
      </c>
      <c r="K15" s="56" t="str">
        <f t="shared" si="8"/>
        <v xml:space="preserve">Geografija </v>
      </c>
      <c r="L15" s="57">
        <f t="shared" si="0"/>
        <v>3</v>
      </c>
      <c r="Q15" s="3" t="str">
        <f t="shared" ref="Q15:R17" si="9">D16</f>
        <v>Chemija</v>
      </c>
      <c r="R15" s="3" t="str">
        <f t="shared" si="9"/>
        <v>Mokysiuos</v>
      </c>
      <c r="S15" s="3" t="str">
        <f t="shared" si="5"/>
        <v>Chemija</v>
      </c>
      <c r="T15" s="3" t="str">
        <f t="array" ref="T15">IFERROR(INDEX($S$11:$S$27,SMALL(IF($S$11:$S$27&lt;&gt;"",ROW($S$11:$S$27)-ROW($S$11)+1,""),ROW(T15)-ROW($S$11)+1)),"")</f>
        <v>Medijų menas</v>
      </c>
      <c r="U15" s="3" t="str">
        <f t="shared" si="6"/>
        <v/>
      </c>
      <c r="V15" s="3" t="str">
        <f t="array" ref="V15">IFERROR(INDEX($U$11:$U$27,SMALL(IF($U$11:$U$27&lt;&gt;"",ROW($U$11:$U$27)-ROW($U$11)+1,""),ROW(V15)-ROW($S$11)+1)),"")</f>
        <v>Geografijos modulis: Geografinių skaitmeninių žemėlapių skaitymas ir analizė</v>
      </c>
      <c r="W15" s="3" t="str">
        <f t="shared" si="7"/>
        <v>Medijų menas</v>
      </c>
      <c r="X15" s="3" t="str">
        <f t="array" ref="X15">IFERROR(INDEX($W$11:$W$45,SMALL(IF($W$11:$W$45&lt;&gt;"",ROW($W$11:$W$45)-ROW($W$11)+1,""),ROW(X15)-ROW($W$11)+1)),"")</f>
        <v>Medijų menas</v>
      </c>
    </row>
    <row r="16" spans="1:24" ht="15.75" thickTop="1" x14ac:dyDescent="0.25">
      <c r="D16" s="59" t="s">
        <v>9</v>
      </c>
      <c r="E16" s="1" t="s">
        <v>41</v>
      </c>
      <c r="F16" s="39">
        <f>IF(E16="Mokysiuos",3,0)</f>
        <v>3</v>
      </c>
      <c r="G16" s="60" t="s">
        <v>21</v>
      </c>
      <c r="H16" s="60"/>
      <c r="I16" s="39">
        <f t="shared" si="1"/>
        <v>0</v>
      </c>
      <c r="J16" s="55">
        <f t="shared" si="3"/>
        <v>7</v>
      </c>
      <c r="K16" s="56" t="str">
        <f t="shared" si="8"/>
        <v>Etika</v>
      </c>
      <c r="L16" s="57">
        <f t="shared" si="0"/>
        <v>1</v>
      </c>
      <c r="Q16" s="3" t="str">
        <f t="shared" si="9"/>
        <v xml:space="preserve">Fizika </v>
      </c>
      <c r="R16" s="3" t="str">
        <f t="shared" si="9"/>
        <v>-</v>
      </c>
      <c r="S16" s="3" t="str">
        <f t="shared" si="5"/>
        <v/>
      </c>
      <c r="T16" s="3" t="str">
        <f t="array" ref="T16">IFERROR(INDEX($S$11:$S$27,SMALL(IF($S$11:$S$27&lt;&gt;"",ROW($S$11:$S$27)-ROW($S$11)+1,""),ROW(T16)-ROW($S$11)+1)),"")</f>
        <v/>
      </c>
      <c r="U16" s="3" t="str">
        <f>IF(H15&lt;&gt;"-",G15&amp;" ("&amp;H15&amp;")","")</f>
        <v/>
      </c>
      <c r="V16" s="3" t="str">
        <f t="array" ref="V16">IFERROR(INDEX($U$11:$U$27,SMALL(IF($U$11:$U$27&lt;&gt;"",ROW($U$11:$U$27)-ROW($U$11)+1,""),ROW(V16)-ROW($S$11)+1)),"")</f>
        <v/>
      </c>
      <c r="W16" s="3" t="str">
        <f t="shared" si="7"/>
        <v/>
      </c>
      <c r="X16" s="3" t="str">
        <f t="array" ref="X16">IFERROR(INDEX($W$11:$W$45,SMALL(IF($W$11:$W$45&lt;&gt;"",ROW($W$11:$W$45)-ROW($W$11)+1,""),ROW(X16)-ROW($W$11)+1)),"")</f>
        <v>Matematikos modulis III klasei: Planimetrija</v>
      </c>
    </row>
    <row r="17" spans="2:24" x14ac:dyDescent="0.25">
      <c r="D17" s="59" t="s">
        <v>10</v>
      </c>
      <c r="E17" s="1" t="s">
        <v>40</v>
      </c>
      <c r="F17" s="39">
        <f>IF(E17="Mokysiuos",3,0)</f>
        <v>0</v>
      </c>
      <c r="G17" s="79" t="s">
        <v>116</v>
      </c>
      <c r="H17" s="80" t="s">
        <v>41</v>
      </c>
      <c r="I17" s="39">
        <f>IF(H17="Mokysiuos",0.5,0)</f>
        <v>0.5</v>
      </c>
      <c r="J17" s="55">
        <f t="shared" si="3"/>
        <v>8</v>
      </c>
      <c r="K17" s="56" t="str">
        <f t="shared" si="8"/>
        <v>Medijų menas</v>
      </c>
      <c r="L17" s="57">
        <f t="shared" si="0"/>
        <v>2</v>
      </c>
      <c r="Q17" s="3" t="str">
        <f t="shared" si="9"/>
        <v>Informatika</v>
      </c>
      <c r="R17" s="3" t="str">
        <f t="shared" si="9"/>
        <v>-</v>
      </c>
      <c r="S17" s="3" t="str">
        <f t="shared" si="5"/>
        <v/>
      </c>
      <c r="T17" s="3" t="str">
        <f t="array" ref="T17">IFERROR(INDEX($S$11:$S$27,SMALL(IF($S$11:$S$27&lt;&gt;"",ROW($S$11:$S$27)-ROW($S$11)+1,""),ROW(T17)-ROW($S$11)+1)),"")</f>
        <v/>
      </c>
      <c r="U17" s="3" t="str">
        <f>IF(H17="mokysiuos",G17,"")</f>
        <v>Matematikos modulis III klasei: Planimetrija</v>
      </c>
      <c r="V17" s="3" t="str">
        <f t="array" ref="V17">IFERROR(INDEX($U$11:$U$27,SMALL(IF($U$11:$U$27&lt;&gt;"",ROW($U$11:$U$27)-ROW($U$11)+1,""),ROW(V17)-ROW($S$11)+1)),"")</f>
        <v/>
      </c>
      <c r="W17" s="3" t="str">
        <f t="shared" si="7"/>
        <v/>
      </c>
      <c r="X17" s="3" t="str">
        <f t="array" ref="X17">IFERROR(INDEX($W$11:$W$45,SMALL(IF($W$11:$W$45&lt;&gt;"",ROW($W$11:$W$45)-ROW($W$11)+1,""),ROW(X17)-ROW($W$11)+1)),"")</f>
        <v>Matematikos modulis IV klasei: Probleminių uždavinių sprendimas</v>
      </c>
    </row>
    <row r="18" spans="2:24" ht="15.75" thickBot="1" x14ac:dyDescent="0.3">
      <c r="D18" s="59" t="s">
        <v>11</v>
      </c>
      <c r="E18" s="1" t="s">
        <v>40</v>
      </c>
      <c r="F18" s="39">
        <f>IF(E18="Mokysiuos",3,0)</f>
        <v>0</v>
      </c>
      <c r="G18" s="79" t="s">
        <v>115</v>
      </c>
      <c r="H18" s="80" t="s">
        <v>41</v>
      </c>
      <c r="I18" s="39">
        <f>IF(H18="Mokysiuos",0.5,0)</f>
        <v>0.5</v>
      </c>
      <c r="J18" s="55">
        <f t="shared" si="3"/>
        <v>9</v>
      </c>
      <c r="K18" s="56" t="str">
        <f t="shared" si="8"/>
        <v>Matematikos modulis III klasei: Planimetrija</v>
      </c>
      <c r="L18" s="57">
        <f t="shared" si="0"/>
        <v>0.5</v>
      </c>
      <c r="Q18" s="3" t="str">
        <f>D20</f>
        <v xml:space="preserve">Istorija </v>
      </c>
      <c r="R18" s="3" t="str">
        <f>E20</f>
        <v>-</v>
      </c>
      <c r="S18" s="3" t="str">
        <f t="shared" si="5"/>
        <v/>
      </c>
      <c r="T18" s="3" t="str">
        <f t="array" ref="T18">IFERROR(INDEX($S$11:$S$27,SMALL(IF($S$11:$S$27&lt;&gt;"",ROW($S$11:$S$27)-ROW($S$11)+1,""),ROW(T18)-ROW($S$11)+1)),"")</f>
        <v/>
      </c>
      <c r="U18" s="3" t="str">
        <f t="shared" ref="U18:U27" si="10">IF(H18="mokysiuos",G18,"")</f>
        <v>Matematikos modulis IV klasei: Probleminių uždavinių sprendimas</v>
      </c>
      <c r="V18" s="3" t="str">
        <f t="array" ref="V18">IFERROR(INDEX($U$11:$U$27,SMALL(IF($U$11:$U$27&lt;&gt;"",ROW($U$11:$U$27)-ROW($U$11)+1,""),ROW(V18)-ROW($S$11)+1)),"")</f>
        <v/>
      </c>
      <c r="W18" s="3" t="str">
        <f t="shared" si="7"/>
        <v/>
      </c>
      <c r="X18" s="3" t="str">
        <f t="array" ref="X18">IFERROR(INDEX($W$11:$W$45,SMALL(IF($W$11:$W$45&lt;&gt;"",ROW($W$11:$W$45)-ROW($W$11)+1,""),ROW(X18)-ROW($W$11)+1)),"")</f>
        <v>Anglų kalbos rašymo gebėjimų ugdymas</v>
      </c>
    </row>
    <row r="19" spans="2:24" ht="15.75" thickTop="1" x14ac:dyDescent="0.25">
      <c r="D19" s="68" t="s">
        <v>114</v>
      </c>
      <c r="E19" s="69"/>
      <c r="F19" s="39">
        <f>COUNTIF(E20:E23,"mokysiuos")</f>
        <v>1</v>
      </c>
      <c r="G19" s="81" t="s">
        <v>108</v>
      </c>
      <c r="H19" s="80" t="str">
        <f>IF(E11="Mokysiuos","Mokysiuos","-")</f>
        <v>Mokysiuos</v>
      </c>
      <c r="I19" s="39">
        <f t="shared" si="1"/>
        <v>1</v>
      </c>
      <c r="J19" s="55">
        <f t="shared" si="3"/>
        <v>10</v>
      </c>
      <c r="K19" s="56" t="str">
        <f t="shared" si="8"/>
        <v>Matematikos modulis IV klasei: Probleminių uždavinių sprendimas</v>
      </c>
      <c r="L19" s="57">
        <f t="shared" si="0"/>
        <v>0.5</v>
      </c>
      <c r="Q19" s="3" t="str">
        <f t="shared" ref="Q19:R21" si="11">D21</f>
        <v xml:space="preserve">Geografija </v>
      </c>
      <c r="R19" s="3" t="str">
        <f t="shared" si="11"/>
        <v>Mokysiuos</v>
      </c>
      <c r="S19" s="3" t="str">
        <f t="shared" si="5"/>
        <v xml:space="preserve">Geografija </v>
      </c>
      <c r="T19" s="3" t="str">
        <f t="array" ref="T19">IFERROR(INDEX($S$11:$S$27,SMALL(IF($S$11:$S$27&lt;&gt;"",ROW($S$11:$S$27)-ROW($S$11)+1,""),ROW(T19)-ROW($S$11)+1)),"")</f>
        <v/>
      </c>
      <c r="U19" s="3" t="str">
        <f t="shared" si="10"/>
        <v>Anglų kalbos rašymo gebėjimų ugdymas</v>
      </c>
      <c r="V19" s="3" t="str">
        <f t="array" ref="V19">IFERROR(INDEX($U$11:$U$27,SMALL(IF($U$11:$U$27&lt;&gt;"",ROW($U$11:$U$27)-ROW($U$11)+1,""),ROW(V19)-ROW($S$11)+1)),"")</f>
        <v/>
      </c>
      <c r="W19" s="3" t="str">
        <f t="shared" si="7"/>
        <v/>
      </c>
      <c r="X19" s="3" t="str">
        <f t="array" ref="X19">IFERROR(INDEX($W$11:$W$45,SMALL(IF($W$11:$W$45&lt;&gt;"",ROW($W$11:$W$45)-ROW($W$11)+1,""),ROW(X19)-ROW($W$11)+1)),"")</f>
        <v>Chemijos modulis: Įvairių tipų chemijos uždavinių sprendimas</v>
      </c>
    </row>
    <row r="20" spans="2:24" ht="15.75" customHeight="1" x14ac:dyDescent="0.25">
      <c r="D20" s="59" t="s">
        <v>14</v>
      </c>
      <c r="E20" s="1" t="s">
        <v>40</v>
      </c>
      <c r="F20" s="39">
        <f>IF(E20="Mokysiuos",3,0)</f>
        <v>0</v>
      </c>
      <c r="G20" s="79" t="s">
        <v>117</v>
      </c>
      <c r="H20" s="80" t="str">
        <f>IF(E18="Mokysiuos","Mokysiuos","-")</f>
        <v>-</v>
      </c>
      <c r="I20" s="39">
        <f>IF(H20="Mokysiuos",1,0)</f>
        <v>0</v>
      </c>
      <c r="J20" s="55">
        <f t="shared" si="3"/>
        <v>11</v>
      </c>
      <c r="K20" s="56" t="str">
        <f t="shared" si="8"/>
        <v>Anglų kalbos rašymo gebėjimų ugdymas</v>
      </c>
      <c r="L20" s="57">
        <f t="shared" si="0"/>
        <v>1</v>
      </c>
      <c r="Q20" s="3" t="str">
        <f t="shared" si="11"/>
        <v>Ekonomika ir verslumas</v>
      </c>
      <c r="R20" s="3" t="str">
        <f t="shared" si="11"/>
        <v>-</v>
      </c>
      <c r="S20" s="3" t="str">
        <f t="shared" si="5"/>
        <v/>
      </c>
      <c r="T20" s="3" t="str">
        <f t="array" ref="T20">IFERROR(INDEX($S$11:$S$27,SMALL(IF($S$11:$S$27&lt;&gt;"",ROW($S$11:$S$27)-ROW($S$11)+1,""),ROW(T20)-ROW($S$11)+1)),"")</f>
        <v/>
      </c>
      <c r="U20" s="3" t="str">
        <f t="shared" si="10"/>
        <v/>
      </c>
      <c r="V20" s="3" t="str">
        <f t="array" ref="V20">IFERROR(INDEX($U$11:$U$27,SMALL(IF($U$11:$U$27&lt;&gt;"",ROW($U$11:$U$27)-ROW($U$11)+1,""),ROW(V20)-ROW($S$11)+1)),"")</f>
        <v/>
      </c>
      <c r="W20" s="3" t="str">
        <f t="shared" si="7"/>
        <v/>
      </c>
      <c r="X20" s="3" t="str">
        <f t="array" ref="X20">IFERROR(INDEX($W$11:$W$45,SMALL(IF($W$11:$W$45&lt;&gt;"",ROW($W$11:$W$45)-ROW($W$11)+1,""),ROW(X20)-ROW($W$11)+1)),"")</f>
        <v>Geografijos modulis: Geografinių skaitmeninių žemėlapių skaitymas ir analizė</v>
      </c>
    </row>
    <row r="21" spans="2:24" x14ac:dyDescent="0.25">
      <c r="D21" s="59" t="s">
        <v>15</v>
      </c>
      <c r="E21" s="1" t="s">
        <v>41</v>
      </c>
      <c r="F21" s="39">
        <f>IF(E21="Mokysiuos",3,0)</f>
        <v>3</v>
      </c>
      <c r="G21" s="79" t="s">
        <v>118</v>
      </c>
      <c r="H21" s="80" t="str">
        <f>IF(B10="B","Mokysiuos","-")</f>
        <v>-</v>
      </c>
      <c r="I21" s="39">
        <f>IF(H21="Mokysiuos",0.5,0)</f>
        <v>0</v>
      </c>
      <c r="J21" s="55">
        <f t="shared" si="3"/>
        <v>12</v>
      </c>
      <c r="K21" s="56" t="str">
        <f t="shared" si="8"/>
        <v>Chemijos modulis: Įvairių tipų chemijos uždavinių sprendimas</v>
      </c>
      <c r="L21" s="57">
        <f t="shared" si="0"/>
        <v>1</v>
      </c>
      <c r="Q21" s="3" t="str">
        <f t="shared" si="11"/>
        <v xml:space="preserve">Filosofija </v>
      </c>
      <c r="R21" s="3" t="str">
        <f t="shared" si="11"/>
        <v>-</v>
      </c>
      <c r="S21" s="3" t="str">
        <f t="shared" si="5"/>
        <v/>
      </c>
      <c r="T21" s="3" t="str">
        <f t="array" ref="T21">IFERROR(INDEX($S$11:$S$27,SMALL(IF($S$11:$S$27&lt;&gt;"",ROW($S$11:$S$27)-ROW($S$11)+1,""),ROW(T21)-ROW($S$11)+1)),"")</f>
        <v/>
      </c>
      <c r="U21" s="3" t="str">
        <f t="shared" si="10"/>
        <v/>
      </c>
      <c r="V21" s="3" t="str">
        <f t="array" ref="V21">IFERROR(INDEX($U$11:$U$27,SMALL(IF($U$11:$U$27&lt;&gt;"",ROW($U$11:$U$27)-ROW($U$11)+1,""),ROW(V21)-ROW($S$11)+1)),"")</f>
        <v/>
      </c>
      <c r="W21" s="3" t="str">
        <f t="shared" si="7"/>
        <v/>
      </c>
      <c r="X21" s="3" t="str">
        <f t="array" ref="X21">IFERROR(INDEX($W$11:$W$45,SMALL(IF($W$11:$W$45&lt;&gt;"",ROW($W$11:$W$45)-ROW($W$11)+1,""),ROW(X21)-ROW($W$11)+1)),"")</f>
        <v/>
      </c>
    </row>
    <row r="22" spans="2:24" x14ac:dyDescent="0.25">
      <c r="D22" s="59" t="s">
        <v>16</v>
      </c>
      <c r="E22" s="1" t="s">
        <v>40</v>
      </c>
      <c r="F22" s="39">
        <f>IF(E22="Mokysiuos",3,0)</f>
        <v>0</v>
      </c>
      <c r="G22" s="79" t="s">
        <v>119</v>
      </c>
      <c r="H22" s="80" t="str">
        <f>IF(B10="B","Mokysiuos","-")</f>
        <v>-</v>
      </c>
      <c r="I22" s="39">
        <f>IF(H22="Mokysiuos",0.5,0)</f>
        <v>0</v>
      </c>
      <c r="J22" s="55">
        <f t="shared" si="3"/>
        <v>13</v>
      </c>
      <c r="K22" s="56" t="str">
        <f t="shared" si="8"/>
        <v>Geografijos modulis: Geografinių skaitmeninių žemėlapių skaitymas ir analizė</v>
      </c>
      <c r="L22" s="57">
        <f t="shared" si="0"/>
        <v>1</v>
      </c>
      <c r="Q22" s="3" t="str">
        <f>D25</f>
        <v>Tikyba</v>
      </c>
      <c r="R22" s="3" t="str">
        <f>E25</f>
        <v>-</v>
      </c>
      <c r="S22" s="3" t="str">
        <f t="shared" si="5"/>
        <v/>
      </c>
      <c r="T22" s="3" t="str">
        <f t="array" ref="T22">IFERROR(INDEX($S$11:$S$27,SMALL(IF($S$11:$S$27&lt;&gt;"",ROW($S$11:$S$27)-ROW($S$11)+1,""),ROW(T22)-ROW($S$11)+1)),"")</f>
        <v/>
      </c>
      <c r="U22" s="3" t="str">
        <f t="shared" si="10"/>
        <v/>
      </c>
      <c r="V22" s="3" t="str">
        <f t="array" ref="V22">IFERROR(INDEX($U$11:$U$27,SMALL(IF($U$11:$U$27&lt;&gt;"",ROW($U$11:$U$27)-ROW($U$11)+1,""),ROW(V22)-ROW($S$11)+1)),"")</f>
        <v/>
      </c>
      <c r="W22" s="3" t="str">
        <f t="shared" si="7"/>
        <v/>
      </c>
      <c r="X22" s="3" t="str">
        <f t="array" ref="X22">IFERROR(INDEX($W$11:$W$45,SMALL(IF($W$11:$W$45&lt;&gt;"",ROW($W$11:$W$45)-ROW($W$11)+1,""),ROW(X22)-ROW($W$11)+1)),"")</f>
        <v/>
      </c>
    </row>
    <row r="23" spans="2:24" ht="15.75" thickBot="1" x14ac:dyDescent="0.3">
      <c r="D23" s="59" t="s">
        <v>17</v>
      </c>
      <c r="E23" s="1" t="s">
        <v>40</v>
      </c>
      <c r="F23" s="39">
        <f>IF(E23="Mokysiuos",3,0)</f>
        <v>0</v>
      </c>
      <c r="G23" s="79" t="s">
        <v>107</v>
      </c>
      <c r="H23" s="80" t="str">
        <f>IF(E15="Mokysiuos","Mokysiuos","-")</f>
        <v>-</v>
      </c>
      <c r="I23" s="39">
        <f>IF(H23="Mokysiuos",1,0)</f>
        <v>0</v>
      </c>
      <c r="J23" s="55" t="str">
        <f t="shared" si="3"/>
        <v/>
      </c>
      <c r="K23" s="56" t="str">
        <f t="shared" si="8"/>
        <v/>
      </c>
      <c r="L23" s="57" t="str">
        <f t="shared" si="0"/>
        <v/>
      </c>
      <c r="Q23" s="3" t="str">
        <f>D26</f>
        <v>Etika</v>
      </c>
      <c r="R23" s="3" t="str">
        <f>E26</f>
        <v>Mokysiuos</v>
      </c>
      <c r="S23" s="3" t="str">
        <f t="shared" si="5"/>
        <v>Etika</v>
      </c>
      <c r="T23" s="3" t="str">
        <f t="array" ref="T23">IFERROR(INDEX($S$11:$S$27,SMALL(IF($S$11:$S$27&lt;&gt;"",ROW($S$11:$S$27)-ROW($S$11)+1,""),ROW(T23)-ROW($S$11)+1)),"")</f>
        <v/>
      </c>
      <c r="U23" s="3" t="str">
        <f t="shared" si="10"/>
        <v/>
      </c>
      <c r="V23" s="3" t="str">
        <f t="array" ref="V23">IFERROR(INDEX($U$11:$U$27,SMALL(IF($U$11:$U$27&lt;&gt;"",ROW($U$11:$U$27)-ROW($U$11)+1,""),ROW(V23)-ROW($S$11)+1)),"")</f>
        <v/>
      </c>
      <c r="W23" s="3" t="str">
        <f t="shared" si="7"/>
        <v/>
      </c>
      <c r="X23" s="3" t="str">
        <f t="array" ref="X23">IFERROR(INDEX($W$11:$W$45,SMALL(IF($W$11:$W$45&lt;&gt;"",ROW($W$11:$W$45)-ROW($W$11)+1,""),ROW(X23)-ROW($W$11)+1)),"")</f>
        <v/>
      </c>
    </row>
    <row r="24" spans="2:24" ht="15.75" thickTop="1" x14ac:dyDescent="0.25">
      <c r="D24" s="71" t="s">
        <v>18</v>
      </c>
      <c r="E24" s="72"/>
      <c r="F24" s="39">
        <f>COUNTIF(E25:E26,"mokysiuos")</f>
        <v>1</v>
      </c>
      <c r="G24" s="79" t="s">
        <v>109</v>
      </c>
      <c r="H24" s="80" t="str">
        <f>IF(E17="Mokysiuos","Mokysiuos","-")</f>
        <v>-</v>
      </c>
      <c r="I24" s="39">
        <f>IF(H24="Mokysiuos",1,0)</f>
        <v>0</v>
      </c>
      <c r="J24" s="55" t="str">
        <f t="shared" si="3"/>
        <v/>
      </c>
      <c r="K24" s="56" t="str">
        <f t="shared" si="8"/>
        <v/>
      </c>
      <c r="L24" s="57" t="str">
        <f t="shared" si="0"/>
        <v/>
      </c>
      <c r="Q24" s="3" t="str">
        <f>D28</f>
        <v>Dailė</v>
      </c>
      <c r="R24" s="3" t="str">
        <f>E28</f>
        <v>-</v>
      </c>
      <c r="S24" s="3" t="str">
        <f t="shared" si="5"/>
        <v/>
      </c>
      <c r="T24" s="3" t="str">
        <f t="array" ref="T24">IFERROR(INDEX($S$11:$S$27,SMALL(IF($S$11:$S$27&lt;&gt;"",ROW($S$11:$S$27)-ROW($S$11)+1,""),ROW(T24)-ROW($S$11)+1)),"")</f>
        <v/>
      </c>
      <c r="U24" s="3" t="str">
        <f t="shared" si="10"/>
        <v/>
      </c>
      <c r="V24" s="3" t="str">
        <f t="array" ref="V24">IFERROR(INDEX($U$11:$U$27,SMALL(IF($U$11:$U$27&lt;&gt;"",ROW($U$11:$U$27)-ROW($U$11)+1,""),ROW(V24)-ROW($S$11)+1)),"")</f>
        <v/>
      </c>
      <c r="W24" s="3" t="str">
        <f t="shared" si="7"/>
        <v/>
      </c>
      <c r="X24" s="3" t="str">
        <f t="array" ref="X24">IFERROR(INDEX($W$11:$W$45,SMALL(IF($W$11:$W$45&lt;&gt;"",ROW($W$11:$W$45)-ROW($W$11)+1,""),ROW(X24)-ROW($W$11)+1)),"")</f>
        <v/>
      </c>
    </row>
    <row r="25" spans="2:24" x14ac:dyDescent="0.25">
      <c r="D25" s="73" t="s">
        <v>19</v>
      </c>
      <c r="E25" s="74" t="s">
        <v>40</v>
      </c>
      <c r="F25" s="39">
        <f>IF(E25="Mokysiuos",1,0)</f>
        <v>0</v>
      </c>
      <c r="G25" s="79" t="s">
        <v>110</v>
      </c>
      <c r="H25" s="80" t="str">
        <f>IF(E16="Mokysiuos","Mokysiuos","-")</f>
        <v>Mokysiuos</v>
      </c>
      <c r="I25" s="39">
        <f>IF(H25="Mokysiuos",1,0)</f>
        <v>1</v>
      </c>
      <c r="J25" s="55" t="str">
        <f t="shared" si="3"/>
        <v/>
      </c>
      <c r="K25" s="56" t="str">
        <f t="shared" si="8"/>
        <v/>
      </c>
      <c r="L25" s="57" t="str">
        <f t="shared" si="0"/>
        <v/>
      </c>
      <c r="Q25" s="3" t="str">
        <f t="shared" ref="Q25:R27" si="12">D29</f>
        <v>Muzika</v>
      </c>
      <c r="R25" s="3" t="str">
        <f t="shared" si="12"/>
        <v>-</v>
      </c>
      <c r="S25" s="3" t="str">
        <f t="shared" si="5"/>
        <v/>
      </c>
      <c r="T25" s="3" t="str">
        <f t="array" ref="T25">IFERROR(INDEX($S$11:$S$27,SMALL(IF($S$11:$S$27&lt;&gt;"",ROW($S$11:$S$27)-ROW($S$11)+1,""),ROW(T25)-ROW($S$11)+1)),"")</f>
        <v/>
      </c>
      <c r="U25" s="3" t="str">
        <f t="shared" si="10"/>
        <v>Chemijos modulis: Įvairių tipų chemijos uždavinių sprendimas</v>
      </c>
      <c r="V25" s="3" t="str">
        <f t="array" ref="V25">IFERROR(INDEX($U$11:$U$27,SMALL(IF($U$11:$U$27&lt;&gt;"",ROW($U$11:$U$27)-ROW($U$11)+1,""),ROW(V25)-ROW($S$11)+1)),"")</f>
        <v/>
      </c>
      <c r="W25" s="3" t="str">
        <f t="shared" si="7"/>
        <v/>
      </c>
      <c r="X25" s="3" t="str">
        <f t="array" ref="X25">IFERROR(INDEX($W$11:$W$45,SMALL(IF($W$11:$W$45&lt;&gt;"",ROW($W$11:$W$45)-ROW($W$11)+1,""),ROW(X25)-ROW($W$11)+1)),"")</f>
        <v/>
      </c>
    </row>
    <row r="26" spans="2:24" ht="15.75" thickBot="1" x14ac:dyDescent="0.3">
      <c r="D26" s="75" t="s">
        <v>20</v>
      </c>
      <c r="E26" s="76" t="s">
        <v>41</v>
      </c>
      <c r="F26" s="39">
        <f>IF(E26="Mokysiuos",1,0)</f>
        <v>1</v>
      </c>
      <c r="G26" s="79" t="s">
        <v>111</v>
      </c>
      <c r="H26" s="80" t="str">
        <f>IF(E20="Mokysiuos","Mokysiuos","-")</f>
        <v>-</v>
      </c>
      <c r="I26" s="39">
        <f>IF(H26="Mokysiuos",1,0)</f>
        <v>0</v>
      </c>
      <c r="J26" s="55" t="str">
        <f t="shared" si="3"/>
        <v/>
      </c>
      <c r="K26" s="56" t="str">
        <f t="shared" si="8"/>
        <v/>
      </c>
      <c r="L26" s="57" t="str">
        <f t="shared" si="0"/>
        <v/>
      </c>
      <c r="Q26" s="3" t="str">
        <f t="shared" si="12"/>
        <v>Medijų menas</v>
      </c>
      <c r="R26" s="3" t="str">
        <f t="shared" si="12"/>
        <v>Mokysiuos</v>
      </c>
      <c r="S26" s="3" t="str">
        <f t="shared" si="5"/>
        <v>Medijų menas</v>
      </c>
      <c r="T26" s="3" t="str">
        <f t="array" ref="T26">IFERROR(INDEX($S$11:$S$27,SMALL(IF($S$11:$S$27&lt;&gt;"",ROW($S$11:$S$27)-ROW($S$11)+1,""),ROW(T26)-ROW($S$11)+1)),"")</f>
        <v/>
      </c>
      <c r="U26" s="3" t="str">
        <f t="shared" si="10"/>
        <v/>
      </c>
      <c r="V26" s="3" t="str">
        <f t="array" ref="V26">IFERROR(INDEX($U$11:$U$27,SMALL(IF($U$11:$U$27&lt;&gt;"",ROW($U$11:$U$27)-ROW($U$11)+1,""),ROW(V26)-ROW($S$11)+1)),"")</f>
        <v/>
      </c>
      <c r="W26" s="3" t="str">
        <f t="shared" si="7"/>
        <v/>
      </c>
      <c r="X26" s="3" t="str">
        <f t="array" ref="X26">IFERROR(INDEX($W$11:$W$45,SMALL(IF($W$11:$W$45&lt;&gt;"",ROW($W$11:$W$45)-ROW($W$11)+1,""),ROW(X26)-ROW($W$11)+1)),"")</f>
        <v/>
      </c>
    </row>
    <row r="27" spans="2:24" ht="15.75" thickTop="1" x14ac:dyDescent="0.25">
      <c r="D27" s="71" t="s">
        <v>30</v>
      </c>
      <c r="E27" s="72"/>
      <c r="F27" s="39">
        <f>COUNTIF(E28:E31,"mokysiuos")</f>
        <v>1</v>
      </c>
      <c r="G27" s="79" t="s">
        <v>112</v>
      </c>
      <c r="H27" s="80" t="str">
        <f>IF(E21="Mokysiuos","Mokysiuos","-")</f>
        <v>Mokysiuos</v>
      </c>
      <c r="I27" s="39">
        <f>IF(H27="Mokysiuos",1,0)</f>
        <v>1</v>
      </c>
      <c r="J27" s="55" t="str">
        <f t="shared" si="3"/>
        <v/>
      </c>
      <c r="K27" s="56" t="str">
        <f t="shared" si="8"/>
        <v/>
      </c>
      <c r="L27" s="57" t="str">
        <f t="shared" si="0"/>
        <v/>
      </c>
      <c r="Q27" s="3" t="str">
        <f t="shared" si="12"/>
        <v>Taikomosios technologijos</v>
      </c>
      <c r="R27" s="3" t="str">
        <f t="shared" si="12"/>
        <v>-</v>
      </c>
      <c r="S27" s="3" t="str">
        <f t="shared" si="5"/>
        <v/>
      </c>
      <c r="T27" s="3" t="str">
        <f t="array" ref="T27">IFERROR(INDEX($S$11:$S$27,SMALL(IF($S$11:$S$27&lt;&gt;"",ROW($S$11:$S$27)-ROW($S$11)+1,""),ROW(T27)-ROW($S$11)+1)),"")</f>
        <v/>
      </c>
      <c r="U27" s="3" t="str">
        <f t="shared" si="10"/>
        <v>Geografijos modulis: Geografinių skaitmeninių žemėlapių skaitymas ir analizė</v>
      </c>
      <c r="V27" s="3" t="str">
        <f t="array" ref="V27">IFERROR(INDEX($U$11:$U$27,SMALL(IF($U$11:$U$27&lt;&gt;"",ROW($U$11:$U$27)-ROW($U$11)+1,""),ROW(V27)-ROW($S$11)+1)),"")</f>
        <v/>
      </c>
      <c r="W27" s="3" t="str">
        <f t="shared" si="7"/>
        <v/>
      </c>
      <c r="X27" s="3" t="str">
        <f t="array" ref="X27">IFERROR(INDEX($W$11:$W$45,SMALL(IF($W$11:$W$45&lt;&gt;"",ROW($W$11:$W$45)-ROW($W$11)+1,""),ROW(X27)-ROW($W$11)+1)),"")</f>
        <v/>
      </c>
    </row>
    <row r="28" spans="2:24" x14ac:dyDescent="0.25">
      <c r="D28" s="73" t="s">
        <v>31</v>
      </c>
      <c r="E28" s="74" t="s">
        <v>40</v>
      </c>
      <c r="F28" s="39">
        <f>IF(E28="Mokysiuos",2,0)</f>
        <v>0</v>
      </c>
      <c r="J28" s="55" t="str">
        <f t="shared" si="3"/>
        <v/>
      </c>
      <c r="K28" s="56" t="str">
        <f t="shared" si="8"/>
        <v/>
      </c>
      <c r="L28" s="57" t="str">
        <f t="shared" si="0"/>
        <v/>
      </c>
      <c r="S28" s="3" t="str">
        <f t="shared" si="5"/>
        <v/>
      </c>
      <c r="T28" s="3" t="str">
        <f t="array" ref="T28">IFERROR(INDEX($S$11:$S$29,SMALL(IF($S$11:$S$29&lt;&gt;"",ROW($S$11:$S$29)-ROW($S$11)+1,""),ROW(T28)-ROW($S$11)+1)),"")</f>
        <v/>
      </c>
      <c r="V28" s="3" t="str">
        <f t="array" ref="V28">IFERROR(INDEX($U$11:$U$20,SMALL(IF($U$11:$U$20&lt;&gt;"",ROW($U$11:$U$20)-ROW($U$11)+1,""),ROW(V28)-ROW($S$11)+1)),"")</f>
        <v/>
      </c>
      <c r="W28" s="3" t="str">
        <f t="shared" si="7"/>
        <v/>
      </c>
      <c r="X28" s="3" t="str">
        <f t="array" ref="X28">IFERROR(INDEX($W$11:$W$45,SMALL(IF($W$11:$W$45&lt;&gt;"",ROW($W$11:$W$45)-ROW($W$11)+1,""),ROW(X28)-ROW($W$11)+1)),"")</f>
        <v/>
      </c>
    </row>
    <row r="29" spans="2:24" x14ac:dyDescent="0.25">
      <c r="B29" s="39" t="str">
        <f>IF(E28="Mokysiuos",D28,IF(E29="Mokysiuos",D29,IF(E30="Mokysiuos",D30,IF(E31="Mokysiuos",D31,"-"))))</f>
        <v>Medijų menas</v>
      </c>
      <c r="D29" s="73" t="s">
        <v>32</v>
      </c>
      <c r="E29" s="74" t="s">
        <v>40</v>
      </c>
      <c r="F29" s="39">
        <f>IF(E29="Mokysiuos",2,0)</f>
        <v>0</v>
      </c>
      <c r="H29" s="39">
        <f>COUNTIF(H10:H15,"Mokysiuos")</f>
        <v>0</v>
      </c>
      <c r="J29" s="55" t="str">
        <f t="shared" si="3"/>
        <v/>
      </c>
      <c r="K29" s="56" t="str">
        <f t="shared" si="8"/>
        <v/>
      </c>
      <c r="L29" s="57" t="str">
        <f t="shared" si="0"/>
        <v/>
      </c>
      <c r="S29" s="3" t="str">
        <f t="shared" si="5"/>
        <v/>
      </c>
      <c r="T29" s="3" t="str">
        <f t="array" ref="T29">IFERROR(INDEX($S$11:$S$29,SMALL(IF($S$11:$S$29&lt;&gt;"",ROW($S$11:$S$29)-ROW($S$11)+1,""),ROW(T29)-ROW($S$11)+1)),"")</f>
        <v/>
      </c>
      <c r="V29" s="3" t="str">
        <f t="array" ref="V29">IFERROR(INDEX($U$11:$U$20,SMALL(IF($U$11:$U$20&lt;&gt;"",ROW($U$11:$U$20)-ROW($U$11)+1,""),ROW(V29)-ROW($S$11)+1)),"")</f>
        <v/>
      </c>
      <c r="W29" s="3" t="str">
        <f>U11</f>
        <v/>
      </c>
      <c r="X29" s="3" t="str">
        <f t="array" ref="X29">IFERROR(INDEX($W$11:$W$45,SMALL(IF($W$11:$W$45&lt;&gt;"",ROW($W$11:$W$45)-ROW($W$11)+1,""),ROW(X29)-ROW($W$11)+1)),"")</f>
        <v/>
      </c>
    </row>
    <row r="30" spans="2:24" x14ac:dyDescent="0.25">
      <c r="D30" s="73" t="s">
        <v>35</v>
      </c>
      <c r="E30" s="74" t="s">
        <v>41</v>
      </c>
      <c r="F30" s="39">
        <f>IF(E30="Mokysiuos",2,0)</f>
        <v>2</v>
      </c>
      <c r="J30" s="55" t="str">
        <f t="shared" si="3"/>
        <v/>
      </c>
      <c r="K30" s="56" t="str">
        <f t="shared" si="8"/>
        <v/>
      </c>
      <c r="L30" s="57" t="str">
        <f t="shared" si="0"/>
        <v/>
      </c>
      <c r="T30" s="3" t="str">
        <f t="array" ref="T30">IFERROR(INDEX($S$11:$S$31,SMALL(IF($S$11:$S$31&lt;&gt;"",ROW($S$11:$S$31)-ROW($S$11)+1,""),ROW(T30)-ROW($S$11)+1)),"")</f>
        <v/>
      </c>
      <c r="V30" s="3" t="str">
        <f t="array" ref="V30">IFERROR(INDEX($U$11:$U$31,SMALL(IF($U$11:$U$31&lt;&gt;"",ROW($U$11:$U$31)-ROW($U$11)+1,""),ROW(V30)-ROW($S$11)+1)),"")</f>
        <v/>
      </c>
      <c r="W30" s="3" t="str">
        <f t="shared" ref="W30:W33" si="13">U12</f>
        <v/>
      </c>
      <c r="X30" s="3" t="str">
        <f t="array" ref="X30">IFERROR(INDEX($W$11:$W$45,SMALL(IF($W$11:$W$45&lt;&gt;"",ROW($W$11:$W$45)-ROW($W$11)+1,""),ROW(X30)-ROW($W$11)+1)),"")</f>
        <v/>
      </c>
    </row>
    <row r="31" spans="2:24" ht="15.75" thickBot="1" x14ac:dyDescent="0.3">
      <c r="D31" s="75" t="s">
        <v>36</v>
      </c>
      <c r="E31" s="76" t="s">
        <v>40</v>
      </c>
      <c r="J31" s="55"/>
      <c r="K31" s="56"/>
      <c r="L31" s="57"/>
      <c r="T31" s="3" t="str">
        <f t="array" ref="T31">IFERROR(INDEX($S$11:$S$31,SMALL(IF($S$11:$S$31&lt;&gt;"",ROW($S$11:$S$31)-ROW($S$11)+1,""),ROW(T31)-ROW($S$11)+1)),"")</f>
        <v/>
      </c>
      <c r="V31" s="3" t="str">
        <f t="array" ref="V31">IFERROR(INDEX($U$11:$U$31,SMALL(IF($U$11:$U$31&lt;&gt;"",ROW($U$11:$U$31)-ROW($U$11)+1,""),ROW(V31)-ROW($S$11)+1)),"")</f>
        <v/>
      </c>
      <c r="W31" s="3" t="str">
        <f t="shared" si="13"/>
        <v/>
      </c>
      <c r="X31" s="3" t="str">
        <f t="array" ref="X31">IFERROR(INDEX($W$11:$W$45,SMALL(IF($W$11:$W$45&lt;&gt;"",ROW($W$11:$W$45)-ROW($W$11)+1,""),ROW(X31)-ROW($W$11)+1)),"")</f>
        <v/>
      </c>
    </row>
    <row r="32" spans="2:24" ht="16.5" thickTop="1" thickBot="1" x14ac:dyDescent="0.3">
      <c r="D32" s="77" t="s">
        <v>37</v>
      </c>
      <c r="E32" s="78" t="s">
        <v>40</v>
      </c>
      <c r="G32" s="90" t="s">
        <v>105</v>
      </c>
      <c r="J32" s="55"/>
      <c r="K32" s="56"/>
      <c r="L32" s="57"/>
      <c r="W32" s="3" t="str">
        <f t="shared" si="13"/>
        <v/>
      </c>
      <c r="X32" s="3" t="str">
        <f t="array" ref="X32">IFERROR(INDEX($W$11:$W$45,SMALL(IF($W$11:$W$45&lt;&gt;"",ROW($W$11:$W$45)-ROW($W$11)+1,""),ROW(X32)-ROW($W$11)+1)),"")</f>
        <v/>
      </c>
    </row>
    <row r="33" spans="5:24" ht="15.75" thickTop="1" x14ac:dyDescent="0.25">
      <c r="E33" s="39">
        <f>SUM(F10,F14,F19,F24,F27)</f>
        <v>5</v>
      </c>
      <c r="J33" s="55"/>
      <c r="K33" s="56"/>
      <c r="L33" s="57"/>
      <c r="W33" s="3" t="str">
        <f t="shared" si="13"/>
        <v/>
      </c>
      <c r="X33" s="3" t="str">
        <f t="array" ref="X33">IFERROR(INDEX($W$11:$W$45,SMALL(IF($W$11:$W$45&lt;&gt;"",ROW($W$11:$W$45)-ROW($W$11)+1,""),ROW(X33)-ROW($W$11)+1)),"")</f>
        <v/>
      </c>
    </row>
    <row r="34" spans="5:24" ht="15" customHeight="1" x14ac:dyDescent="0.25">
      <c r="J34" s="55"/>
      <c r="K34" s="63" t="str">
        <f t="shared" si="8"/>
        <v/>
      </c>
      <c r="L34" s="57" t="str">
        <f t="shared" si="0"/>
        <v/>
      </c>
      <c r="W34" s="3" t="str">
        <f>U16</f>
        <v/>
      </c>
      <c r="X34" s="3" t="str">
        <f t="array" ref="X34">IFERROR(INDEX($W$11:$W$45,SMALL(IF($W$11:$W$45&lt;&gt;"",ROW($W$11:$W$45)-ROW($W$11)+1,""),ROW(X34)-ROW($W$11)+1)),"")</f>
        <v/>
      </c>
    </row>
    <row r="35" spans="5:24" x14ac:dyDescent="0.25">
      <c r="K35" s="3" t="str">
        <f t="shared" si="8"/>
        <v/>
      </c>
      <c r="W35" s="3" t="str">
        <f t="shared" ref="W35:W45" si="14">U17</f>
        <v>Matematikos modulis III klasei: Planimetrija</v>
      </c>
      <c r="X35" s="3" t="str">
        <f t="array" ref="X35">IFERROR(INDEX($W$11:$W$45,SMALL(IF($W$11:$W$45&lt;&gt;"",ROW($W$11:$W$45)-ROW($W$11)+1,""),ROW(X35)-ROW($W$11)+1)),"")</f>
        <v/>
      </c>
    </row>
    <row r="36" spans="5:24" x14ac:dyDescent="0.25">
      <c r="K36" s="3" t="str">
        <f t="shared" si="8"/>
        <v/>
      </c>
      <c r="W36" s="3" t="str">
        <f t="shared" si="14"/>
        <v>Matematikos modulis IV klasei: Probleminių uždavinių sprendimas</v>
      </c>
      <c r="X36" s="3" t="str">
        <f t="array" ref="X36">IFERROR(INDEX($W$11:$W$45,SMALL(IF($W$11:$W$45&lt;&gt;"",ROW($W$11:$W$45)-ROW($W$11)+1,""),ROW(X36)-ROW($W$11)+1)),"")</f>
        <v/>
      </c>
    </row>
    <row r="37" spans="5:24" x14ac:dyDescent="0.25">
      <c r="K37" s="3" t="str">
        <f t="shared" si="8"/>
        <v/>
      </c>
      <c r="W37" s="3" t="str">
        <f t="shared" si="14"/>
        <v>Anglų kalbos rašymo gebėjimų ugdymas</v>
      </c>
      <c r="X37" s="3" t="str">
        <f t="array" ref="X37">IFERROR(INDEX($W$11:$W$45,SMALL(IF($W$11:$W$45&lt;&gt;"",ROW($W$11:$W$45)-ROW($W$11)+1,""),ROW(X37)-ROW($W$11)+1)),"")</f>
        <v/>
      </c>
    </row>
    <row r="38" spans="5:24" x14ac:dyDescent="0.25">
      <c r="W38" s="3" t="str">
        <f t="shared" si="14"/>
        <v/>
      </c>
      <c r="X38" s="3" t="str">
        <f t="array" ref="X38">IFERROR(INDEX($W$11:$W$45,SMALL(IF($W$11:$W$45&lt;&gt;"",ROW($W$11:$W$45)-ROW($W$11)+1,""),ROW(X38)-ROW($W$11)+1)),"")</f>
        <v/>
      </c>
    </row>
    <row r="39" spans="5:24" x14ac:dyDescent="0.25">
      <c r="W39" s="3" t="str">
        <f t="shared" si="14"/>
        <v/>
      </c>
      <c r="X39" s="3" t="str">
        <f t="array" ref="X39">IFERROR(INDEX($W$11:$W$45,SMALL(IF($W$11:$W$45&lt;&gt;"",ROW($W$11:$W$45)-ROW($W$11)+1,""),ROW(X39)-ROW($W$11)+1)),"")</f>
        <v/>
      </c>
    </row>
    <row r="40" spans="5:24" x14ac:dyDescent="0.25">
      <c r="W40" s="3" t="str">
        <f t="shared" si="14"/>
        <v/>
      </c>
      <c r="X40" s="3" t="str">
        <f t="array" ref="X40">IFERROR(INDEX($W$11:$W$45,SMALL(IF($W$11:$W$45&lt;&gt;"",ROW($W$11:$W$45)-ROW($W$11)+1,""),ROW(X40)-ROW($W$11)+1)),"")</f>
        <v/>
      </c>
    </row>
    <row r="41" spans="5:24" x14ac:dyDescent="0.25">
      <c r="W41" s="3" t="str">
        <f t="shared" si="14"/>
        <v/>
      </c>
      <c r="X41" s="3" t="str">
        <f t="array" ref="X41">IFERROR(INDEX($W$11:$W$45,SMALL(IF($W$11:$W$45&lt;&gt;"",ROW($W$11:$W$45)-ROW($W$11)+1,""),ROW(X41)-ROW($W$11)+1)),"")</f>
        <v/>
      </c>
    </row>
    <row r="42" spans="5:24" x14ac:dyDescent="0.25">
      <c r="W42" s="3" t="str">
        <f t="shared" si="14"/>
        <v/>
      </c>
      <c r="X42" s="3" t="str">
        <f t="array" ref="X42">IFERROR(INDEX($W$11:$W$45,SMALL(IF($W$11:$W$45&lt;&gt;"",ROW($W$11:$W$45)-ROW($W$11)+1,""),ROW(X42)-ROW($W$11)+1)),"")</f>
        <v/>
      </c>
    </row>
    <row r="43" spans="5:24" x14ac:dyDescent="0.25">
      <c r="W43" s="3" t="str">
        <f t="shared" si="14"/>
        <v>Chemijos modulis: Įvairių tipų chemijos uždavinių sprendimas</v>
      </c>
      <c r="X43" s="3" t="str">
        <f t="array" ref="X43">IFERROR(INDEX($W$11:$W$45,SMALL(IF($W$11:$W$45&lt;&gt;"",ROW($W$11:$W$45)-ROW($W$11)+1,""),ROW(X43)-ROW($W$11)+1)),"")</f>
        <v/>
      </c>
    </row>
    <row r="44" spans="5:24" x14ac:dyDescent="0.25">
      <c r="W44" s="3" t="str">
        <f t="shared" si="14"/>
        <v/>
      </c>
      <c r="X44" s="3" t="str">
        <f t="array" ref="X44">IFERROR(INDEX($W$11:$W$45,SMALL(IF($W$11:$W$45&lt;&gt;"",ROW($W$11:$W$45)-ROW($W$11)+1,""),ROW(X44)-ROW($W$11)+1)),"")</f>
        <v/>
      </c>
    </row>
    <row r="45" spans="5:24" x14ac:dyDescent="0.25">
      <c r="W45" s="3" t="str">
        <f t="shared" si="14"/>
        <v>Geografijos modulis: Geografinių skaitmeninių žemėlapių skaitymas ir analizė</v>
      </c>
      <c r="X45" s="3" t="str">
        <f t="array" ref="X45">IFERROR(INDEX($W$11:$W$45,SMALL(IF($W$11:$W$45&lt;&gt;"",ROW($W$11:$W$45)-ROW($W$11)+1,""),ROW(X45)-ROW($W$11)+1)),"")</f>
        <v/>
      </c>
    </row>
    <row r="46" spans="5:24" x14ac:dyDescent="0.25">
      <c r="X46" s="3" t="str">
        <f t="array" ref="X46">IFERROR(INDEX($W$11:$W$49,SMALL(IF($W$11:$W$49&lt;&gt;"",ROW($W$11:$W$49)-ROW($W$11)+1,""),ROW(X46)-ROW($W$11)+1)),"")</f>
        <v/>
      </c>
    </row>
    <row r="47" spans="5:24" x14ac:dyDescent="0.25">
      <c r="X47" s="3" t="str">
        <f t="array" ref="X47">IFERROR(INDEX($W$11:$W$49,SMALL(IF($W$11:$W$49&lt;&gt;"",ROW($W$11:$W$49)-ROW($W$11)+1,""),ROW(X47)-ROW($W$11)+1)),"")</f>
        <v/>
      </c>
    </row>
    <row r="48" spans="5:24" x14ac:dyDescent="0.25">
      <c r="X48" s="3" t="str">
        <f t="array" ref="X48">IFERROR(INDEX($W$11:$W$49,SMALL(IF($W$11:$W$49&lt;&gt;"",ROW($W$11:$W$49)-ROW($W$11)+1,""),ROW(X48)-ROW($W$11)+1)),"")</f>
        <v/>
      </c>
    </row>
    <row r="49" spans="24:24" x14ac:dyDescent="0.25">
      <c r="X49" s="3" t="str">
        <f t="array" ref="X49">IFERROR(INDEX($W$11:$W$49,SMALL(IF($W$11:$W$49&lt;&gt;"",ROW($W$11:$W$49)-ROW($W$11)+1,""),ROW(X49)-ROW($W$11)+1)),"")</f>
        <v/>
      </c>
    </row>
  </sheetData>
  <sheetProtection algorithmName="SHA-512" hashValue="Ku05SRC95S2hjhplwHk45/mto6QrnCL4I9RPsiYCQuAN4LrzR8UEeNpp5Aa4nuk/0MMxt34h3+nHDm/pwnH6Pg==" saltValue="Hf+guPGvWwP4GQvjpAOb4Q==" spinCount="100000" sheet="1" objects="1" scenarios="1"/>
  <mergeCells count="7">
    <mergeCell ref="D10:E10"/>
    <mergeCell ref="J2:L7"/>
    <mergeCell ref="A1:H1"/>
    <mergeCell ref="A2:H2"/>
    <mergeCell ref="G4:H5"/>
    <mergeCell ref="A4:B5"/>
    <mergeCell ref="C4:F5"/>
  </mergeCells>
  <conditionalFormatting sqref="E7">
    <cfRule type="expression" dxfId="21" priority="19">
      <formula>$E$7&lt;8</formula>
    </cfRule>
  </conditionalFormatting>
  <conditionalFormatting sqref="H7">
    <cfRule type="expression" dxfId="20" priority="17">
      <formula>$H$7&gt;35</formula>
    </cfRule>
    <cfRule type="expression" dxfId="19" priority="18">
      <formula>$H$7&lt;25</formula>
    </cfRule>
  </conditionalFormatting>
  <conditionalFormatting sqref="E20:E23">
    <cfRule type="expression" dxfId="18" priority="14">
      <formula>COUNTIF($E$20:$E$23,"Mokysiuos")=0</formula>
    </cfRule>
  </conditionalFormatting>
  <conditionalFormatting sqref="E25:E26">
    <cfRule type="expression" dxfId="17" priority="10">
      <formula>COUNTIF($E$25:$E$26,"Mokysiuos")&lt;&gt;1</formula>
    </cfRule>
    <cfRule type="expression" dxfId="16" priority="13">
      <formula>COUNTIF($E$25:$E$26,"Mokysiuos")=0</formula>
    </cfRule>
  </conditionalFormatting>
  <conditionalFormatting sqref="E28:E31">
    <cfRule type="expression" dxfId="15" priority="20">
      <formula>COUNTIF($E$28:$E$32,"Mokysiuos")=0</formula>
    </cfRule>
  </conditionalFormatting>
  <conditionalFormatting sqref="E28:E31">
    <cfRule type="expression" dxfId="14" priority="22">
      <formula>COUNTIF($E$28:$E$31,"Mokysiuos")&lt;&gt;1</formula>
    </cfRule>
  </conditionalFormatting>
  <conditionalFormatting sqref="G17:H27">
    <cfRule type="expression" dxfId="13" priority="2">
      <formula>$H17="Mokysiuos"</formula>
    </cfRule>
  </conditionalFormatting>
  <conditionalFormatting sqref="E11:E13">
    <cfRule type="expression" dxfId="12" priority="23">
      <formula>COUNTIF($E$11:$E$13,"Mokysiuos")=0</formula>
    </cfRule>
  </conditionalFormatting>
  <conditionalFormatting sqref="E15:E18">
    <cfRule type="expression" dxfId="11" priority="25">
      <formula>COUNTIF($E$15:$E$18,"Mokysiuos")=0</formula>
    </cfRule>
  </conditionalFormatting>
  <conditionalFormatting sqref="G32">
    <cfRule type="expression" dxfId="10" priority="26">
      <formula>$E$32&lt;&gt;"Rašysiu"</formula>
    </cfRule>
  </conditionalFormatting>
  <conditionalFormatting sqref="G21:H22">
    <cfRule type="expression" dxfId="9" priority="1">
      <formula>$B$10="B"</formula>
    </cfRule>
  </conditionalFormatting>
  <dataValidations count="4">
    <dataValidation type="list" allowBlank="1" showInputMessage="1" showErrorMessage="1" sqref="B10:B11" xr:uid="{8ABE33BB-5F2E-4338-9C77-3358FE3900E3}">
      <formula1>"A,B"</formula1>
    </dataValidation>
    <dataValidation type="list" allowBlank="1" showInputMessage="1" showErrorMessage="1" sqref="E11:E13 E15:E18 E20:E23 E25:E26 E28:E31 H10:H14" xr:uid="{5D8157EA-371B-4A0C-9138-F9E153E1B1EC}">
      <formula1>"Mokysiuos,-"</formula1>
    </dataValidation>
    <dataValidation type="list" allowBlank="1" showInputMessage="1" showErrorMessage="1" sqref="E32" xr:uid="{AAF2B461-94E3-436F-937C-D18E3840BE5C}">
      <formula1>"Rašysiu,-"</formula1>
    </dataValidation>
    <dataValidation type="list" allowBlank="1" showInputMessage="1" showErrorMessage="1" sqref="H15" xr:uid="{0BB4126C-CB12-4EC0-B9B9-C5074195CA75}">
      <formula1>"Rusų,Prancūzų,Vokiečių,-"</formula1>
    </dataValidation>
  </dataValidations>
  <printOptions horizontalCentered="1" verticalCentered="1"/>
  <pageMargins left="0.70866141732283472" right="0.70866141732283472" top="1.3385826771653544" bottom="0.74803149606299213" header="0.31496062992125984" footer="0.31496062992125984"/>
  <pageSetup paperSize="9" scale="70" orientation="landscape" r:id="rId1"/>
  <headerFooter>
    <oddHeader>&amp;LMokymosi dalykų pasirinkimas&amp;C2023-2025 m.m.&amp;R&amp;G</oddHeader>
    <oddFooter>&amp;LVilniaus "Laisvės" gimnazija&amp;RIndividualaus plano sudarymo data &amp;D</oddFooter>
  </headerFooter>
  <colBreaks count="1" manualBreakCount="1">
    <brk id="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12F6-7FF3-44B2-8D93-7CCBDC11A160}">
  <sheetPr>
    <tabColor rgb="FFFF0000"/>
  </sheetPr>
  <dimension ref="B1:S69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0.42578125" style="3" customWidth="1"/>
    <col min="2" max="2" width="42" style="3" customWidth="1"/>
    <col min="3" max="3" width="22.28515625" style="3" customWidth="1"/>
    <col min="4" max="7" width="12.7109375" style="3" customWidth="1"/>
    <col min="8" max="8" width="41.42578125" style="3" customWidth="1"/>
    <col min="9" max="11" width="9.140625" style="3"/>
    <col min="12" max="12" width="9.140625" style="4" customWidth="1"/>
    <col min="13" max="13" width="12.5703125" style="5" customWidth="1"/>
    <col min="14" max="14" width="11" style="5" customWidth="1"/>
    <col min="15" max="15" width="9.140625" style="5"/>
    <col min="16" max="16" width="9.140625" style="4"/>
    <col min="17" max="16384" width="9.140625" style="3"/>
  </cols>
  <sheetData>
    <row r="1" spans="2:17" ht="18.75" x14ac:dyDescent="0.3">
      <c r="B1" s="123" t="s">
        <v>61</v>
      </c>
      <c r="C1" s="123"/>
      <c r="D1" s="123"/>
      <c r="E1" s="123"/>
      <c r="F1" s="123"/>
      <c r="G1" s="123"/>
      <c r="H1" s="2"/>
      <c r="M1" s="5" t="s">
        <v>20</v>
      </c>
      <c r="O1" s="5" t="s">
        <v>62</v>
      </c>
    </row>
    <row r="2" spans="2:17" ht="15.75" customHeight="1" x14ac:dyDescent="0.3">
      <c r="B2" s="6" t="s">
        <v>129</v>
      </c>
      <c r="H2" s="2"/>
      <c r="P2" s="5"/>
      <c r="Q2" s="5"/>
    </row>
    <row r="3" spans="2:17" ht="13.5" customHeight="1" x14ac:dyDescent="0.3">
      <c r="B3" s="3" t="s">
        <v>63</v>
      </c>
      <c r="C3" s="7"/>
      <c r="D3" s="7"/>
      <c r="E3" s="7"/>
      <c r="F3" s="7"/>
      <c r="G3" s="7"/>
      <c r="H3" s="2"/>
      <c r="P3" s="5"/>
      <c r="Q3" s="5"/>
    </row>
    <row r="4" spans="2:17" ht="17.25" customHeight="1" x14ac:dyDescent="0.3">
      <c r="B4" s="152" t="s">
        <v>64</v>
      </c>
      <c r="C4" s="152"/>
      <c r="D4" s="152"/>
      <c r="E4" s="152"/>
      <c r="F4" s="152"/>
      <c r="G4" s="152"/>
      <c r="H4" s="87"/>
      <c r="P4" s="5"/>
      <c r="Q4" s="5"/>
    </row>
    <row r="5" spans="2:17" ht="29.25" customHeight="1" x14ac:dyDescent="0.25">
      <c r="B5" s="151" t="s">
        <v>130</v>
      </c>
      <c r="C5" s="151"/>
      <c r="D5" s="151"/>
      <c r="E5" s="151"/>
      <c r="F5" s="151"/>
      <c r="G5" s="151"/>
      <c r="H5" s="86"/>
      <c r="P5" s="5"/>
      <c r="Q5" s="5"/>
    </row>
    <row r="6" spans="2:17" x14ac:dyDescent="0.25">
      <c r="C6" s="8" t="s">
        <v>67</v>
      </c>
      <c r="D6" s="171" t="str">
        <f>'Individualus planas'!C4</f>
        <v>Vardas Pavardė</v>
      </c>
      <c r="E6" s="171"/>
      <c r="F6" s="171"/>
      <c r="G6" s="171"/>
      <c r="H6" s="92"/>
      <c r="O6" s="5" t="s">
        <v>38</v>
      </c>
      <c r="P6" s="5"/>
      <c r="Q6" s="5"/>
    </row>
    <row r="7" spans="2:17" ht="18.75" x14ac:dyDescent="0.3">
      <c r="B7" s="123" t="s">
        <v>127</v>
      </c>
      <c r="C7" s="123"/>
      <c r="D7" s="123"/>
      <c r="E7" s="123"/>
      <c r="F7" s="123"/>
      <c r="G7" s="123"/>
      <c r="P7" s="5"/>
      <c r="Q7" s="5"/>
    </row>
    <row r="8" spans="2:17" x14ac:dyDescent="0.25">
      <c r="B8" s="158" t="s">
        <v>69</v>
      </c>
      <c r="C8" s="158"/>
      <c r="D8" s="158"/>
      <c r="E8" s="159">
        <f ca="1">TODAY()</f>
        <v>45406</v>
      </c>
      <c r="F8" s="159"/>
      <c r="G8" s="159"/>
      <c r="M8" s="5" t="s">
        <v>70</v>
      </c>
      <c r="N8" s="5" t="s">
        <v>71</v>
      </c>
      <c r="O8" s="5" t="s">
        <v>40</v>
      </c>
      <c r="P8" s="5"/>
      <c r="Q8" s="5"/>
    </row>
    <row r="9" spans="2:17" ht="13.5" customHeight="1" thickBot="1" x14ac:dyDescent="0.3">
      <c r="B9" s="153" t="s">
        <v>95</v>
      </c>
      <c r="C9" s="153"/>
      <c r="P9" s="5"/>
      <c r="Q9" s="5"/>
    </row>
    <row r="10" spans="2:17" x14ac:dyDescent="0.25">
      <c r="B10" s="134" t="s">
        <v>52</v>
      </c>
      <c r="C10" s="135"/>
      <c r="D10" s="125" t="s">
        <v>73</v>
      </c>
      <c r="E10" s="128" t="s">
        <v>74</v>
      </c>
      <c r="F10" s="138" t="s">
        <v>75</v>
      </c>
      <c r="G10" s="139"/>
      <c r="P10" s="5"/>
      <c r="Q10" s="5"/>
    </row>
    <row r="11" spans="2:17" ht="15.75" thickBot="1" x14ac:dyDescent="0.3">
      <c r="B11" s="136"/>
      <c r="C11" s="137"/>
      <c r="D11" s="127"/>
      <c r="E11" s="129"/>
      <c r="F11" s="106" t="s">
        <v>121</v>
      </c>
      <c r="G11" s="107" t="s">
        <v>122</v>
      </c>
      <c r="P11" s="5"/>
      <c r="Q11" s="5"/>
    </row>
    <row r="12" spans="2:17" x14ac:dyDescent="0.25">
      <c r="B12" s="142" t="s">
        <v>2</v>
      </c>
      <c r="C12" s="143"/>
      <c r="D12" s="94" t="str">
        <f>'Individualus planas'!B10</f>
        <v>A</v>
      </c>
      <c r="E12" s="94">
        <f>'Individualus planas'!C10*2</f>
        <v>12</v>
      </c>
      <c r="F12" s="94">
        <f>IF(E12=12,6,4)</f>
        <v>6</v>
      </c>
      <c r="G12" s="98">
        <f>IF(E12=12,6,4)</f>
        <v>6</v>
      </c>
      <c r="P12" s="5"/>
      <c r="Q12" s="5"/>
    </row>
    <row r="13" spans="2:17" x14ac:dyDescent="0.25">
      <c r="B13" s="140" t="s">
        <v>3</v>
      </c>
      <c r="C13" s="141"/>
      <c r="D13" s="9" t="str">
        <f>'Individualus planas'!B11</f>
        <v>A</v>
      </c>
      <c r="E13" s="9">
        <f>'Individualus planas'!C11*2</f>
        <v>12</v>
      </c>
      <c r="F13" s="9">
        <f>IF(E13=12,6,4)</f>
        <v>6</v>
      </c>
      <c r="G13" s="100">
        <f>IF(E13=12,6,4)</f>
        <v>6</v>
      </c>
      <c r="P13" s="5"/>
      <c r="Q13" s="5"/>
    </row>
    <row r="14" spans="2:17" x14ac:dyDescent="0.25">
      <c r="B14" s="140" t="s">
        <v>5</v>
      </c>
      <c r="C14" s="141"/>
      <c r="D14" s="9" t="s">
        <v>40</v>
      </c>
      <c r="E14" s="9">
        <v>6</v>
      </c>
      <c r="F14" s="9">
        <v>3</v>
      </c>
      <c r="G14" s="100">
        <v>3</v>
      </c>
      <c r="P14" s="5"/>
      <c r="Q14" s="5"/>
    </row>
    <row r="15" spans="2:17" ht="15.75" thickBot="1" x14ac:dyDescent="0.3">
      <c r="B15" s="160" t="s">
        <v>6</v>
      </c>
      <c r="C15" s="161"/>
      <c r="D15" s="162" t="s">
        <v>53</v>
      </c>
      <c r="E15" s="163"/>
      <c r="F15" s="163"/>
      <c r="G15" s="164"/>
      <c r="P15" s="5"/>
      <c r="Q15" s="5"/>
    </row>
    <row r="16" spans="2:17" ht="3.75" customHeight="1" x14ac:dyDescent="0.25">
      <c r="B16" s="8"/>
      <c r="C16" s="8"/>
      <c r="D16" s="8"/>
      <c r="E16" s="14"/>
      <c r="F16" s="14"/>
      <c r="G16" s="14"/>
      <c r="P16" s="5"/>
      <c r="Q16" s="5"/>
    </row>
    <row r="17" spans="2:19" ht="12" customHeight="1" thickBot="1" x14ac:dyDescent="0.3">
      <c r="B17" s="18" t="s">
        <v>99</v>
      </c>
      <c r="M17" s="5" t="s">
        <v>38</v>
      </c>
      <c r="O17" s="5" t="s">
        <v>72</v>
      </c>
      <c r="P17" s="5"/>
      <c r="Q17" s="5"/>
    </row>
    <row r="18" spans="2:19" x14ac:dyDescent="0.25">
      <c r="B18" s="165" t="s">
        <v>96</v>
      </c>
      <c r="C18" s="145" t="s">
        <v>52</v>
      </c>
      <c r="D18" s="146"/>
      <c r="E18" s="128" t="s">
        <v>74</v>
      </c>
      <c r="F18" s="138" t="s">
        <v>75</v>
      </c>
      <c r="G18" s="139"/>
      <c r="M18" s="5" t="s">
        <v>68</v>
      </c>
      <c r="O18" s="5" t="s">
        <v>76</v>
      </c>
      <c r="P18" s="5"/>
      <c r="Q18" s="5"/>
    </row>
    <row r="19" spans="2:19" ht="15.75" thickBot="1" x14ac:dyDescent="0.3">
      <c r="B19" s="166"/>
      <c r="C19" s="147"/>
      <c r="D19" s="148"/>
      <c r="E19" s="129"/>
      <c r="F19" s="106" t="s">
        <v>121</v>
      </c>
      <c r="G19" s="107" t="s">
        <v>122</v>
      </c>
      <c r="M19" s="5" t="s">
        <v>77</v>
      </c>
      <c r="O19" s="5" t="s">
        <v>65</v>
      </c>
      <c r="P19" s="5"/>
      <c r="Q19" s="5"/>
    </row>
    <row r="20" spans="2:19" x14ac:dyDescent="0.25">
      <c r="B20" s="108" t="s">
        <v>18</v>
      </c>
      <c r="C20" s="149" t="str">
        <f>IF('Individualus planas'!E25="Mokysiuos",'Individualus planas'!D25,"Etika")</f>
        <v>Etika</v>
      </c>
      <c r="D20" s="150"/>
      <c r="E20" s="94">
        <v>2</v>
      </c>
      <c r="F20" s="94">
        <v>1</v>
      </c>
      <c r="G20" s="98">
        <v>1</v>
      </c>
      <c r="M20" s="5" t="s">
        <v>9</v>
      </c>
      <c r="O20" s="5" t="s">
        <v>66</v>
      </c>
      <c r="P20" s="5"/>
      <c r="Q20" s="5"/>
      <c r="R20" s="5"/>
      <c r="S20" s="5" t="s">
        <v>38</v>
      </c>
    </row>
    <row r="21" spans="2:19" ht="15.75" thickBot="1" x14ac:dyDescent="0.3">
      <c r="B21" s="103" t="s">
        <v>30</v>
      </c>
      <c r="C21" s="167" t="str">
        <f>'Individualus planas'!B29</f>
        <v>Medijų menas</v>
      </c>
      <c r="D21" s="167"/>
      <c r="E21" s="19">
        <v>4</v>
      </c>
      <c r="F21" s="19">
        <v>2</v>
      </c>
      <c r="G21" s="102">
        <v>2</v>
      </c>
      <c r="P21" s="5"/>
      <c r="Q21" s="5"/>
      <c r="R21" s="5"/>
      <c r="S21" s="5"/>
    </row>
    <row r="22" spans="2:19" x14ac:dyDescent="0.25">
      <c r="B22" s="168" t="s">
        <v>7</v>
      </c>
      <c r="C22" s="21" t="s">
        <v>79</v>
      </c>
      <c r="D22" s="20" t="str">
        <f>'Individualus planas'!E11</f>
        <v>Mokysiuos</v>
      </c>
      <c r="E22" s="20">
        <f>IF(D22="Mokysiuos",6,"-")</f>
        <v>6</v>
      </c>
      <c r="F22" s="20">
        <f>IF(E22="-","-",3)</f>
        <v>3</v>
      </c>
      <c r="G22" s="104">
        <f>IF(E22="-","-",3)</f>
        <v>3</v>
      </c>
      <c r="M22" s="5" t="s">
        <v>78</v>
      </c>
      <c r="O22" s="5" t="s">
        <v>40</v>
      </c>
      <c r="P22" s="5"/>
      <c r="Q22" s="5"/>
      <c r="R22" s="5" t="s">
        <v>68</v>
      </c>
      <c r="S22" s="10" t="s">
        <v>40</v>
      </c>
    </row>
    <row r="23" spans="2:19" x14ac:dyDescent="0.25">
      <c r="B23" s="169"/>
      <c r="C23" s="15" t="s">
        <v>97</v>
      </c>
      <c r="D23" s="9" t="str">
        <f>'Individualus planas'!E12</f>
        <v>-</v>
      </c>
      <c r="E23" s="9" t="str">
        <f t="shared" ref="E23:E32" si="0">IF(D23="Mokysiuos",6,"-")</f>
        <v>-</v>
      </c>
      <c r="F23" s="9" t="str">
        <f t="shared" ref="F23:F32" si="1">IF(E23="-","-",3)</f>
        <v>-</v>
      </c>
      <c r="G23" s="100" t="str">
        <f t="shared" ref="G23:G28" si="2">IF(E23="-","-",3)</f>
        <v>-</v>
      </c>
      <c r="M23" s="5" t="s">
        <v>32</v>
      </c>
      <c r="O23" s="5" t="s">
        <v>62</v>
      </c>
      <c r="P23" s="5" t="s">
        <v>62</v>
      </c>
      <c r="Q23" s="5"/>
      <c r="R23" s="10" t="s">
        <v>40</v>
      </c>
      <c r="S23" s="5"/>
    </row>
    <row r="24" spans="2:19" ht="15.75" thickBot="1" x14ac:dyDescent="0.3">
      <c r="B24" s="170"/>
      <c r="C24" s="22" t="s">
        <v>87</v>
      </c>
      <c r="D24" s="9" t="str">
        <f>'Individualus planas'!E13</f>
        <v>-</v>
      </c>
      <c r="E24" s="19" t="str">
        <f t="shared" si="0"/>
        <v>-</v>
      </c>
      <c r="F24" s="19" t="str">
        <f t="shared" si="1"/>
        <v>-</v>
      </c>
      <c r="G24" s="102" t="str">
        <f t="shared" si="2"/>
        <v>-</v>
      </c>
      <c r="P24" s="5"/>
      <c r="Q24" s="5"/>
    </row>
    <row r="25" spans="2:19" x14ac:dyDescent="0.25">
      <c r="B25" s="176" t="s">
        <v>113</v>
      </c>
      <c r="C25" s="21" t="s">
        <v>8</v>
      </c>
      <c r="D25" s="20" t="str">
        <f>'Individualus planas'!E15</f>
        <v>-</v>
      </c>
      <c r="E25" s="20" t="str">
        <f t="shared" si="0"/>
        <v>-</v>
      </c>
      <c r="F25" s="20" t="str">
        <f t="shared" si="1"/>
        <v>-</v>
      </c>
      <c r="G25" s="104" t="str">
        <f t="shared" si="2"/>
        <v>-</v>
      </c>
      <c r="P25" s="5"/>
      <c r="Q25" s="5"/>
    </row>
    <row r="26" spans="2:19" x14ac:dyDescent="0.25">
      <c r="B26" s="177"/>
      <c r="C26" s="15" t="s">
        <v>9</v>
      </c>
      <c r="D26" s="9" t="str">
        <f>'Individualus planas'!E16</f>
        <v>Mokysiuos</v>
      </c>
      <c r="E26" s="9">
        <f t="shared" si="0"/>
        <v>6</v>
      </c>
      <c r="F26" s="9">
        <f t="shared" si="1"/>
        <v>3</v>
      </c>
      <c r="G26" s="100">
        <f t="shared" si="2"/>
        <v>3</v>
      </c>
      <c r="P26" s="5"/>
      <c r="Q26" s="5"/>
    </row>
    <row r="27" spans="2:19" x14ac:dyDescent="0.25">
      <c r="B27" s="177"/>
      <c r="C27" s="15" t="s">
        <v>10</v>
      </c>
      <c r="D27" s="9" t="str">
        <f>'Individualus planas'!E17</f>
        <v>-</v>
      </c>
      <c r="E27" s="9" t="str">
        <f t="shared" si="0"/>
        <v>-</v>
      </c>
      <c r="F27" s="9" t="str">
        <f t="shared" si="1"/>
        <v>-</v>
      </c>
      <c r="G27" s="100" t="str">
        <f t="shared" si="2"/>
        <v>-</v>
      </c>
      <c r="P27" s="5"/>
      <c r="Q27" s="5"/>
    </row>
    <row r="28" spans="2:19" ht="15.75" thickBot="1" x14ac:dyDescent="0.3">
      <c r="B28" s="177"/>
      <c r="C28" s="15" t="s">
        <v>11</v>
      </c>
      <c r="D28" s="9" t="str">
        <f>'Individualus planas'!E18</f>
        <v>-</v>
      </c>
      <c r="E28" s="9" t="str">
        <f t="shared" si="0"/>
        <v>-</v>
      </c>
      <c r="F28" s="9" t="str">
        <f t="shared" si="1"/>
        <v>-</v>
      </c>
      <c r="G28" s="100" t="str">
        <f t="shared" si="2"/>
        <v>-</v>
      </c>
      <c r="P28" s="5"/>
      <c r="Q28" s="5"/>
    </row>
    <row r="29" spans="2:19" x14ac:dyDescent="0.25">
      <c r="B29" s="155" t="s">
        <v>13</v>
      </c>
      <c r="C29" s="21" t="s">
        <v>14</v>
      </c>
      <c r="D29" s="20" t="str">
        <f>'Individualus planas'!E20</f>
        <v>-</v>
      </c>
      <c r="E29" s="20" t="str">
        <f t="shared" si="0"/>
        <v>-</v>
      </c>
      <c r="F29" s="20" t="str">
        <f t="shared" si="1"/>
        <v>-</v>
      </c>
      <c r="G29" s="104" t="str">
        <f t="shared" ref="G29:G32" si="3">IF(E29="-","-",3)</f>
        <v>-</v>
      </c>
      <c r="M29" s="5" t="s">
        <v>80</v>
      </c>
      <c r="P29" s="5" t="s">
        <v>9</v>
      </c>
      <c r="Q29" s="5" t="s">
        <v>9</v>
      </c>
    </row>
    <row r="30" spans="2:19" x14ac:dyDescent="0.25">
      <c r="B30" s="156"/>
      <c r="C30" s="15" t="s">
        <v>15</v>
      </c>
      <c r="D30" s="9" t="str">
        <f>'Individualus planas'!E21</f>
        <v>Mokysiuos</v>
      </c>
      <c r="E30" s="9">
        <f t="shared" si="0"/>
        <v>6</v>
      </c>
      <c r="F30" s="9">
        <f t="shared" si="1"/>
        <v>3</v>
      </c>
      <c r="G30" s="100">
        <f t="shared" si="3"/>
        <v>3</v>
      </c>
      <c r="P30" s="5"/>
      <c r="Q30" s="5"/>
    </row>
    <row r="31" spans="2:19" s="11" customFormat="1" x14ac:dyDescent="0.25">
      <c r="B31" s="156"/>
      <c r="C31" s="32" t="s">
        <v>16</v>
      </c>
      <c r="D31" s="9" t="str">
        <f>'Individualus planas'!E22</f>
        <v>-</v>
      </c>
      <c r="E31" s="9" t="str">
        <f t="shared" si="0"/>
        <v>-</v>
      </c>
      <c r="F31" s="9" t="str">
        <f t="shared" si="1"/>
        <v>-</v>
      </c>
      <c r="G31" s="100" t="str">
        <f t="shared" si="3"/>
        <v>-</v>
      </c>
      <c r="M31" s="5" t="s">
        <v>81</v>
      </c>
      <c r="N31" s="12"/>
      <c r="O31" s="5" t="s">
        <v>77</v>
      </c>
      <c r="P31" s="5" t="s">
        <v>78</v>
      </c>
      <c r="Q31" s="5" t="s">
        <v>77</v>
      </c>
    </row>
    <row r="32" spans="2:19" ht="15.75" thickBot="1" x14ac:dyDescent="0.3">
      <c r="B32" s="157"/>
      <c r="C32" s="105" t="s">
        <v>17</v>
      </c>
      <c r="D32" s="19" t="str">
        <f>'Individualus planas'!E23</f>
        <v>-</v>
      </c>
      <c r="E32" s="19" t="str">
        <f t="shared" si="0"/>
        <v>-</v>
      </c>
      <c r="F32" s="19" t="str">
        <f t="shared" si="1"/>
        <v>-</v>
      </c>
      <c r="G32" s="102" t="str">
        <f t="shared" si="3"/>
        <v>-</v>
      </c>
      <c r="M32" s="5" t="s">
        <v>82</v>
      </c>
      <c r="O32" s="5" t="s">
        <v>78</v>
      </c>
      <c r="P32" s="5" t="s">
        <v>83</v>
      </c>
      <c r="Q32" s="5" t="s">
        <v>83</v>
      </c>
    </row>
    <row r="33" spans="2:17" ht="4.5" customHeight="1" x14ac:dyDescent="0.25">
      <c r="B33" s="16"/>
      <c r="D33" s="17"/>
      <c r="E33" s="17"/>
      <c r="F33" s="17"/>
      <c r="G33" s="17"/>
      <c r="P33" s="5"/>
      <c r="Q33" s="5"/>
    </row>
    <row r="34" spans="2:17" ht="12" customHeight="1" thickBot="1" x14ac:dyDescent="0.3">
      <c r="B34" s="18" t="s">
        <v>100</v>
      </c>
      <c r="G34"/>
      <c r="H34"/>
      <c r="I34" s="33"/>
      <c r="J34" s="33"/>
      <c r="M34" s="5" t="s">
        <v>84</v>
      </c>
      <c r="O34" s="5" t="s">
        <v>76</v>
      </c>
      <c r="P34" s="5"/>
      <c r="Q34" s="5"/>
    </row>
    <row r="35" spans="2:17" ht="15" customHeight="1" x14ac:dyDescent="0.25">
      <c r="B35" s="124" t="s">
        <v>52</v>
      </c>
      <c r="C35" s="125"/>
      <c r="D35" s="128" t="s">
        <v>74</v>
      </c>
      <c r="E35" s="128" t="s">
        <v>75</v>
      </c>
      <c r="F35" s="130"/>
      <c r="G35"/>
      <c r="H35"/>
      <c r="I35" s="33"/>
      <c r="J35" s="33"/>
      <c r="M35" s="5" t="s">
        <v>85</v>
      </c>
      <c r="P35" s="5"/>
      <c r="Q35" s="5"/>
    </row>
    <row r="36" spans="2:17" ht="15.75" thickBot="1" x14ac:dyDescent="0.3">
      <c r="B36" s="126"/>
      <c r="C36" s="127"/>
      <c r="D36" s="129"/>
      <c r="E36" s="95" t="s">
        <v>121</v>
      </c>
      <c r="F36" s="96" t="s">
        <v>122</v>
      </c>
      <c r="G36"/>
      <c r="H36"/>
      <c r="I36" s="33"/>
      <c r="J36" s="33"/>
      <c r="M36" s="5" t="s">
        <v>76</v>
      </c>
    </row>
    <row r="37" spans="2:17" x14ac:dyDescent="0.25">
      <c r="B37" s="97" t="s">
        <v>23</v>
      </c>
      <c r="C37" s="94" t="str">
        <f>'Individualus planas'!H10</f>
        <v>-</v>
      </c>
      <c r="D37" s="94" t="str">
        <f>IF(C37="Mokysiuos",2,"-")</f>
        <v>-</v>
      </c>
      <c r="E37" s="94" t="str">
        <f>IF(D37=2,1,"-")</f>
        <v>-</v>
      </c>
      <c r="F37" s="98" t="str">
        <f>IF(D37=2,1,"-")</f>
        <v>-</v>
      </c>
      <c r="G37"/>
      <c r="H37"/>
      <c r="I37" s="33"/>
      <c r="J37" s="33"/>
      <c r="M37" s="5" t="s">
        <v>86</v>
      </c>
    </row>
    <row r="38" spans="2:17" ht="15" customHeight="1" x14ac:dyDescent="0.25">
      <c r="B38" s="99" t="s">
        <v>24</v>
      </c>
      <c r="C38" s="9" t="str">
        <f>'Individualus planas'!H11</f>
        <v>-</v>
      </c>
      <c r="D38" s="9" t="str">
        <f t="shared" ref="D38:D40" si="4">IF(C38="Mokysiuos",2,"-")</f>
        <v>-</v>
      </c>
      <c r="E38" s="9" t="str">
        <f t="shared" ref="E38:E40" si="5">IF(D38=2,1,"-")</f>
        <v>-</v>
      </c>
      <c r="F38" s="100" t="str">
        <f t="shared" ref="F38:F40" si="6">IF(D38=2,1,"-")</f>
        <v>-</v>
      </c>
      <c r="G38"/>
      <c r="H38"/>
    </row>
    <row r="39" spans="2:17" x14ac:dyDescent="0.25">
      <c r="B39" s="99" t="s">
        <v>28</v>
      </c>
      <c r="C39" s="9" t="str">
        <f>'Individualus planas'!H12</f>
        <v>-</v>
      </c>
      <c r="D39" s="9" t="str">
        <f t="shared" si="4"/>
        <v>-</v>
      </c>
      <c r="E39" s="9" t="str">
        <f t="shared" si="5"/>
        <v>-</v>
      </c>
      <c r="F39" s="100" t="str">
        <f t="shared" si="6"/>
        <v>-</v>
      </c>
      <c r="G39"/>
      <c r="H39"/>
      <c r="M39" s="5" t="s">
        <v>87</v>
      </c>
    </row>
    <row r="40" spans="2:17" x14ac:dyDescent="0.25">
      <c r="B40" s="99" t="s">
        <v>106</v>
      </c>
      <c r="C40" s="9" t="str">
        <f>'Individualus planas'!H13</f>
        <v>-</v>
      </c>
      <c r="D40" s="9" t="str">
        <f t="shared" si="4"/>
        <v>-</v>
      </c>
      <c r="E40" s="9" t="str">
        <f t="shared" si="5"/>
        <v>-</v>
      </c>
      <c r="F40" s="100" t="str">
        <f t="shared" si="6"/>
        <v>-</v>
      </c>
      <c r="G40"/>
      <c r="H40"/>
      <c r="M40" s="5" t="s">
        <v>83</v>
      </c>
    </row>
    <row r="41" spans="2:17" x14ac:dyDescent="0.25">
      <c r="B41" s="99" t="s">
        <v>29</v>
      </c>
      <c r="C41" s="9" t="str">
        <f>'Individualus planas'!H14</f>
        <v>-</v>
      </c>
      <c r="D41" s="9" t="str">
        <f t="shared" ref="D41" si="7">IF(C41="Mokysiuos",2,"-")</f>
        <v>-</v>
      </c>
      <c r="E41" s="9" t="str">
        <f t="shared" ref="E41" si="8">IF(D41=2,1,"-")</f>
        <v>-</v>
      </c>
      <c r="F41" s="100" t="str">
        <f t="shared" ref="F41" si="9">IF(D41=2,1,"-")</f>
        <v>-</v>
      </c>
      <c r="G41"/>
      <c r="H41"/>
    </row>
    <row r="42" spans="2:17" s="11" customFormat="1" ht="15" customHeight="1" thickBot="1" x14ac:dyDescent="0.3">
      <c r="B42" s="101" t="str">
        <f>"II užsienio kalba ("&amp;'Individualus planas'!H15&amp;")"</f>
        <v>II užsienio kalba (-)</v>
      </c>
      <c r="C42" s="19" t="str">
        <f>'Individualus planas'!H15</f>
        <v>-</v>
      </c>
      <c r="D42" s="19" t="str">
        <f>IF(OR(C42="Rusų",C42="prancūzų",C42="vokiečių"),4,"-")</f>
        <v>-</v>
      </c>
      <c r="E42" s="19" t="str">
        <f>IF(D42=4,2,"-")</f>
        <v>-</v>
      </c>
      <c r="F42" s="102" t="str">
        <f>IF(D42=4,2,"-")</f>
        <v>-</v>
      </c>
      <c r="G42"/>
      <c r="H42"/>
      <c r="M42" s="5"/>
      <c r="N42" s="12"/>
      <c r="O42" s="5"/>
      <c r="P42" s="4"/>
    </row>
    <row r="43" spans="2:17" s="11" customFormat="1" ht="3.75" customHeight="1" x14ac:dyDescent="0.25">
      <c r="B43" s="4"/>
      <c r="C43" s="4"/>
      <c r="D43" s="4"/>
      <c r="E43" s="17"/>
      <c r="F43" s="23"/>
      <c r="G43"/>
      <c r="H43"/>
      <c r="M43" s="5"/>
      <c r="N43" s="12"/>
      <c r="O43" s="5"/>
      <c r="P43" s="4"/>
    </row>
    <row r="44" spans="2:17" ht="12" customHeight="1" x14ac:dyDescent="0.25">
      <c r="C44" s="18" t="s">
        <v>88</v>
      </c>
      <c r="F44" s="172" t="s">
        <v>75</v>
      </c>
      <c r="G44" s="172"/>
      <c r="H44"/>
    </row>
    <row r="45" spans="2:17" ht="5.25" customHeight="1" x14ac:dyDescent="0.25">
      <c r="C45" s="154" t="s">
        <v>21</v>
      </c>
      <c r="D45" s="154"/>
      <c r="E45" s="175" t="s">
        <v>74</v>
      </c>
      <c r="F45" s="172"/>
      <c r="G45" s="172"/>
      <c r="H45"/>
    </row>
    <row r="46" spans="2:17" ht="9.75" customHeight="1" x14ac:dyDescent="0.25">
      <c r="C46" s="154"/>
      <c r="D46" s="154"/>
      <c r="E46" s="175"/>
      <c r="F46" s="109" t="s">
        <v>121</v>
      </c>
      <c r="G46" s="109" t="s">
        <v>122</v>
      </c>
      <c r="H46"/>
    </row>
    <row r="47" spans="2:17" x14ac:dyDescent="0.25">
      <c r="B47" s="174" t="str">
        <f>'Individualus planas'!G17</f>
        <v>Matematikos modulis III klasei: Planimetrija</v>
      </c>
      <c r="C47" s="174"/>
      <c r="D47" s="88" t="str">
        <f>'Individualus planas'!H17</f>
        <v>Mokysiuos</v>
      </c>
      <c r="E47" s="91">
        <f>IF(D47="Mokysiuos",1,"-")</f>
        <v>1</v>
      </c>
      <c r="F47" s="91">
        <f t="shared" ref="F47:F55" si="10">IF(E47="-","-",1)</f>
        <v>1</v>
      </c>
      <c r="G47" s="91" t="s">
        <v>40</v>
      </c>
      <c r="H47"/>
    </row>
    <row r="48" spans="2:17" x14ac:dyDescent="0.25">
      <c r="B48" s="174" t="str">
        <f>'Individualus planas'!G18</f>
        <v>Matematikos modulis IV klasei: Probleminių uždavinių sprendimas</v>
      </c>
      <c r="C48" s="174"/>
      <c r="D48" s="88" t="str">
        <f>'Individualus planas'!H18</f>
        <v>Mokysiuos</v>
      </c>
      <c r="E48" s="91">
        <f>IF(D48="Mokysiuos",1,"-")</f>
        <v>1</v>
      </c>
      <c r="F48" s="91" t="s">
        <v>40</v>
      </c>
      <c r="G48" s="91">
        <f t="shared" ref="G48:G55" si="11">IF(E48="-","-",1)</f>
        <v>1</v>
      </c>
      <c r="H48"/>
    </row>
    <row r="49" spans="2:8" x14ac:dyDescent="0.25">
      <c r="B49" s="174" t="str">
        <f>'Individualus planas'!G19</f>
        <v>Anglų kalbos rašymo gebėjimų ugdymas</v>
      </c>
      <c r="C49" s="174"/>
      <c r="D49" s="88" t="str">
        <f>'Individualus planas'!H19</f>
        <v>Mokysiuos</v>
      </c>
      <c r="E49" s="91">
        <f t="shared" ref="E49:E55" si="12">IF(D49="Mokysiuos",2,"-")</f>
        <v>2</v>
      </c>
      <c r="F49" s="91">
        <f t="shared" si="10"/>
        <v>1</v>
      </c>
      <c r="G49" s="91">
        <f t="shared" si="11"/>
        <v>1</v>
      </c>
      <c r="H49"/>
    </row>
    <row r="50" spans="2:8" x14ac:dyDescent="0.25">
      <c r="B50" s="174" t="str">
        <f>'Individualus planas'!G20</f>
        <v>Informatikos modulis: Duomenų tyrybos, programavimo ir saugaus elgesio pradmenys</v>
      </c>
      <c r="C50" s="174"/>
      <c r="D50" s="88" t="str">
        <f>'Individualus planas'!H20</f>
        <v>-</v>
      </c>
      <c r="E50" s="91" t="str">
        <f t="shared" si="12"/>
        <v>-</v>
      </c>
      <c r="F50" s="91" t="str">
        <f t="shared" si="10"/>
        <v>-</v>
      </c>
      <c r="G50" s="91" t="str">
        <f t="shared" si="11"/>
        <v>-</v>
      </c>
      <c r="H50"/>
    </row>
    <row r="51" spans="2:8" x14ac:dyDescent="0.25">
      <c r="B51" s="174" t="str">
        <f>'Individualus planas'!G21</f>
        <v>Lietuvių k. modulis III klasei B lygiui: Lietuvių kalbos rašyba, skyryba ir kalbos vartojimas</v>
      </c>
      <c r="C51" s="174"/>
      <c r="D51" s="88" t="str">
        <f>'Individualus planas'!H21</f>
        <v>-</v>
      </c>
      <c r="E51" s="91" t="str">
        <f t="shared" si="12"/>
        <v>-</v>
      </c>
      <c r="F51" s="91" t="str">
        <f t="shared" si="10"/>
        <v>-</v>
      </c>
      <c r="G51" s="91" t="s">
        <v>40</v>
      </c>
      <c r="H51"/>
    </row>
    <row r="52" spans="2:8" x14ac:dyDescent="0.25">
      <c r="B52" s="174" t="str">
        <f>'Individualus planas'!G22</f>
        <v>Lietuvių k. modulis IV klasei B lygiui: Kūrybinis rašymas</v>
      </c>
      <c r="C52" s="174"/>
      <c r="D52" s="88" t="str">
        <f>'Individualus planas'!H22</f>
        <v>-</v>
      </c>
      <c r="E52" s="91" t="str">
        <f t="shared" si="12"/>
        <v>-</v>
      </c>
      <c r="F52" s="91" t="s">
        <v>40</v>
      </c>
      <c r="G52" s="91" t="str">
        <f t="shared" si="11"/>
        <v>-</v>
      </c>
      <c r="H52"/>
    </row>
    <row r="53" spans="2:8" x14ac:dyDescent="0.25">
      <c r="B53" s="174" t="str">
        <f>'Individualus planas'!G23</f>
        <v>Biologijos tiriamosios veiklos duomenų apdorojimo metodikos</v>
      </c>
      <c r="C53" s="174"/>
      <c r="D53" s="88" t="str">
        <f>'Individualus planas'!H23</f>
        <v>-</v>
      </c>
      <c r="E53" s="91" t="str">
        <f t="shared" si="12"/>
        <v>-</v>
      </c>
      <c r="F53" s="91" t="str">
        <f t="shared" si="10"/>
        <v>-</v>
      </c>
      <c r="G53" s="91" t="str">
        <f t="shared" si="11"/>
        <v>-</v>
      </c>
      <c r="H53"/>
    </row>
    <row r="54" spans="2:8" x14ac:dyDescent="0.25">
      <c r="B54" s="174" t="str">
        <f>'Individualus planas'!G24</f>
        <v>Fizikos modulis: Eksperimentinė fizika</v>
      </c>
      <c r="C54" s="174"/>
      <c r="D54" s="88" t="str">
        <f>'Individualus planas'!H24</f>
        <v>-</v>
      </c>
      <c r="E54" s="91" t="str">
        <f t="shared" si="12"/>
        <v>-</v>
      </c>
      <c r="F54" s="91" t="str">
        <f t="shared" si="10"/>
        <v>-</v>
      </c>
      <c r="G54" s="91" t="str">
        <f t="shared" si="11"/>
        <v>-</v>
      </c>
      <c r="H54"/>
    </row>
    <row r="55" spans="2:8" ht="15.75" customHeight="1" x14ac:dyDescent="0.25">
      <c r="B55" s="174" t="str">
        <f>'Individualus planas'!G25</f>
        <v>Chemijos modulis: Įvairių tipų chemijos uždavinių sprendimas</v>
      </c>
      <c r="C55" s="174"/>
      <c r="D55" s="88" t="str">
        <f>'Individualus planas'!H25</f>
        <v>Mokysiuos</v>
      </c>
      <c r="E55" s="91">
        <f t="shared" si="12"/>
        <v>2</v>
      </c>
      <c r="F55" s="91">
        <f t="shared" si="10"/>
        <v>1</v>
      </c>
      <c r="G55" s="91">
        <f t="shared" si="11"/>
        <v>1</v>
      </c>
      <c r="H55"/>
    </row>
    <row r="56" spans="2:8" x14ac:dyDescent="0.25">
      <c r="B56" s="174" t="str">
        <f>'Individualus planas'!G26</f>
        <v>Istorijos modulis: Istorinių šaltinių analizė</v>
      </c>
      <c r="C56" s="174"/>
      <c r="D56" s="88" t="str">
        <f>'Individualus planas'!H26</f>
        <v>-</v>
      </c>
      <c r="E56" s="91" t="str">
        <f>IF(D56="Mokysiuos",2,"-")</f>
        <v>-</v>
      </c>
      <c r="F56" s="91" t="str">
        <f>IF(E56="-","-",1)</f>
        <v>-</v>
      </c>
      <c r="G56" s="91" t="str">
        <f>IF(E56="-","-",1)</f>
        <v>-</v>
      </c>
      <c r="H56"/>
    </row>
    <row r="57" spans="2:8" x14ac:dyDescent="0.25">
      <c r="B57" s="174" t="str">
        <f>'Individualus planas'!G27</f>
        <v>Geografijos modulis: Geografinių skaitmeninių žemėlapių skaitymas ir analizė</v>
      </c>
      <c r="C57" s="174"/>
      <c r="D57" s="88" t="str">
        <f>'Individualus planas'!H27</f>
        <v>Mokysiuos</v>
      </c>
      <c r="E57" s="91">
        <f>IF(D57="Mokysiuos",2,"-")</f>
        <v>2</v>
      </c>
      <c r="F57" s="91">
        <f>IF(E57="-","-",1)</f>
        <v>1</v>
      </c>
      <c r="G57" s="91">
        <f>IF(E57="-","-",1)</f>
        <v>1</v>
      </c>
      <c r="H57"/>
    </row>
    <row r="58" spans="2:8" ht="4.5" customHeight="1" x14ac:dyDescent="0.25">
      <c r="B58"/>
      <c r="C58"/>
      <c r="D58"/>
      <c r="E58"/>
      <c r="F58"/>
      <c r="G58"/>
      <c r="H58"/>
    </row>
    <row r="59" spans="2:8" ht="5.25" customHeight="1" x14ac:dyDescent="0.25">
      <c r="G59"/>
      <c r="H59"/>
    </row>
    <row r="60" spans="2:8" ht="12.75" customHeight="1" x14ac:dyDescent="0.25">
      <c r="B60" s="93" t="s">
        <v>128</v>
      </c>
      <c r="C60" s="173" t="str">
        <f>'Individualus planas'!G32</f>
        <v>Įrašykite brandos darbo temą ir dalyką</v>
      </c>
      <c r="D60" s="173"/>
      <c r="E60" s="173"/>
      <c r="F60" s="173"/>
      <c r="G60" s="173"/>
      <c r="H60"/>
    </row>
    <row r="61" spans="2:8" ht="3.75" customHeight="1" thickBot="1" x14ac:dyDescent="0.3">
      <c r="G61"/>
      <c r="H61"/>
    </row>
    <row r="62" spans="2:8" ht="15.75" thickBot="1" x14ac:dyDescent="0.3">
      <c r="C62" s="24"/>
      <c r="D62" s="29" t="s">
        <v>89</v>
      </c>
      <c r="E62" s="30" t="s">
        <v>101</v>
      </c>
      <c r="F62" s="31" t="s">
        <v>102</v>
      </c>
      <c r="G62"/>
      <c r="H62"/>
    </row>
    <row r="63" spans="2:8" ht="15.75" thickBot="1" x14ac:dyDescent="0.3">
      <c r="C63" s="25" t="s">
        <v>90</v>
      </c>
      <c r="D63" s="26">
        <f>'Individualus planas'!E7</f>
        <v>8</v>
      </c>
      <c r="E63" s="27">
        <f>IF('Individualus planas'!E32="rašysiu",SUM(F12:F14,F20:F32,E37:E42,F47:F57)+1,SUM(F12:F14,F20:F32,E37:E42,F47:F57))</f>
        <v>31</v>
      </c>
      <c r="F63" s="28">
        <f>IF('Individualus planas'!E32="rašysiu",SUM(G12:G14,G20:G32,F37:F42,G47:G57)+1,SUM(G12:G14,G20:G32,F37:F42,G47:G57))</f>
        <v>31</v>
      </c>
      <c r="G63"/>
      <c r="H63"/>
    </row>
    <row r="64" spans="2:8" ht="6.75" customHeight="1" x14ac:dyDescent="0.25">
      <c r="G64"/>
      <c r="H64"/>
    </row>
    <row r="65" spans="2:8" ht="7.5" customHeight="1" x14ac:dyDescent="0.25">
      <c r="G65"/>
      <c r="H65"/>
    </row>
    <row r="66" spans="2:8" ht="19.5" customHeight="1" x14ac:dyDescent="0.25">
      <c r="B66" s="13" t="s">
        <v>91</v>
      </c>
      <c r="C66" s="144" t="str">
        <f>D6</f>
        <v>Vardas Pavardė</v>
      </c>
      <c r="D66" s="144"/>
      <c r="E66" s="144"/>
      <c r="F66" s="132"/>
      <c r="G66" s="132"/>
      <c r="H66" s="37"/>
    </row>
    <row r="67" spans="2:8" x14ac:dyDescent="0.25">
      <c r="B67" s="8"/>
      <c r="C67" s="133" t="s">
        <v>92</v>
      </c>
      <c r="D67" s="133"/>
      <c r="E67" s="133"/>
      <c r="F67" s="133" t="s">
        <v>93</v>
      </c>
      <c r="G67" s="133"/>
      <c r="H67" s="38"/>
    </row>
    <row r="68" spans="2:8" ht="30.75" customHeight="1" x14ac:dyDescent="0.25">
      <c r="B68" s="13" t="s">
        <v>94</v>
      </c>
      <c r="C68" s="131"/>
      <c r="D68" s="131"/>
      <c r="E68" s="131"/>
      <c r="F68" s="132"/>
      <c r="G68" s="132"/>
      <c r="H68" s="38"/>
    </row>
    <row r="69" spans="2:8" x14ac:dyDescent="0.25">
      <c r="C69" s="133" t="s">
        <v>92</v>
      </c>
      <c r="D69" s="133"/>
      <c r="E69" s="133"/>
      <c r="F69" s="133" t="s">
        <v>93</v>
      </c>
      <c r="G69" s="133"/>
      <c r="H69" s="33"/>
    </row>
  </sheetData>
  <sheetProtection algorithmName="SHA-512" hashValue="VqjW872X15IuijAxdgrq0V0bpSfKkkLuhGDRvGMHDiZ/6i5uTWsGe/vzpgi+9xNgKdtIzJGAcSCwnTkZu9e0Pw==" saltValue="TPlNB3HtAQcdLkfKouUFTg==" spinCount="100000" sheet="1" selectLockedCells="1" selectUnlockedCells="1"/>
  <mergeCells count="52">
    <mergeCell ref="D6:G6"/>
    <mergeCell ref="F44:G45"/>
    <mergeCell ref="C60:G60"/>
    <mergeCell ref="B56:C56"/>
    <mergeCell ref="B57:C57"/>
    <mergeCell ref="E45:E46"/>
    <mergeCell ref="B51:C51"/>
    <mergeCell ref="B52:C52"/>
    <mergeCell ref="B53:C53"/>
    <mergeCell ref="B54:C54"/>
    <mergeCell ref="B55:C55"/>
    <mergeCell ref="B47:C47"/>
    <mergeCell ref="B48:C48"/>
    <mergeCell ref="B49:C49"/>
    <mergeCell ref="B50:C50"/>
    <mergeCell ref="B25:B28"/>
    <mergeCell ref="B5:G5"/>
    <mergeCell ref="B4:G4"/>
    <mergeCell ref="B1:G1"/>
    <mergeCell ref="B9:C9"/>
    <mergeCell ref="C45:D46"/>
    <mergeCell ref="B29:B32"/>
    <mergeCell ref="B8:D8"/>
    <mergeCell ref="E8:G8"/>
    <mergeCell ref="E18:E19"/>
    <mergeCell ref="F18:G18"/>
    <mergeCell ref="B14:C14"/>
    <mergeCell ref="B15:C15"/>
    <mergeCell ref="D15:G15"/>
    <mergeCell ref="B18:B19"/>
    <mergeCell ref="C21:D21"/>
    <mergeCell ref="B22:B24"/>
    <mergeCell ref="C69:E69"/>
    <mergeCell ref="F69:G69"/>
    <mergeCell ref="B10:C11"/>
    <mergeCell ref="D10:D11"/>
    <mergeCell ref="E10:E11"/>
    <mergeCell ref="F10:G10"/>
    <mergeCell ref="B13:C13"/>
    <mergeCell ref="B12:C12"/>
    <mergeCell ref="C66:E66"/>
    <mergeCell ref="F66:G66"/>
    <mergeCell ref="C67:E67"/>
    <mergeCell ref="F67:G67"/>
    <mergeCell ref="C18:D19"/>
    <mergeCell ref="C20:D20"/>
    <mergeCell ref="B7:G7"/>
    <mergeCell ref="B35:C36"/>
    <mergeCell ref="D35:D36"/>
    <mergeCell ref="E35:F35"/>
    <mergeCell ref="C68:E68"/>
    <mergeCell ref="F68:G68"/>
  </mergeCells>
  <conditionalFormatting sqref="E63:F63">
    <cfRule type="cellIs" dxfId="8" priority="9" operator="lessThan">
      <formula>25</formula>
    </cfRule>
    <cfRule type="cellIs" dxfId="7" priority="10" operator="greaterThan">
      <formula>35</formula>
    </cfRule>
  </conditionalFormatting>
  <conditionalFormatting sqref="D6">
    <cfRule type="expression" dxfId="6" priority="8">
      <formula>$D$6="Vardenis Pavardenis"</formula>
    </cfRule>
  </conditionalFormatting>
  <conditionalFormatting sqref="D63">
    <cfRule type="expression" dxfId="5" priority="6">
      <formula>$D$63&lt;8</formula>
    </cfRule>
  </conditionalFormatting>
  <conditionalFormatting sqref="C22:C32 B37:C43 C44:D44 C45 D47:D57">
    <cfRule type="expression" dxfId="4" priority="5">
      <formula>C22="Mokysiuos"</formula>
    </cfRule>
  </conditionalFormatting>
  <conditionalFormatting sqref="B47:B57">
    <cfRule type="expression" dxfId="3" priority="30">
      <formula>D47="Mokysiuos"</formula>
    </cfRule>
  </conditionalFormatting>
  <conditionalFormatting sqref="B60">
    <cfRule type="expression" dxfId="2" priority="3">
      <formula>C60="Mokysiuos"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&amp;LIndividualus planas 2024-2026 m.m.</oddHeader>
    <oddFooter>&amp;L&amp;P iš &amp;N&amp;RVilniaus „Laisvės“ gimnazija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66F14C2-0970-4375-B682-755C7B80ABCF}">
            <xm:f>'Individualus planas'!$H$15&lt;&gt;"-"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1" id="{1E5D24D6-2F1F-46DF-BA37-E405479E7367}">
            <xm:f>'Individualus planas'!$E$32="rašysiu"</xm:f>
            <x14:dxf>
              <font>
                <b/>
                <i val="0"/>
              </font>
              <numFmt numFmtId="0" formatCode="General"/>
            </x14:dxf>
          </x14:cfRule>
          <xm:sqref>B60:G60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B05-E976-4875-8354-B18B84B0C02C}">
  <dimension ref="A1:B50"/>
  <sheetViews>
    <sheetView topLeftCell="A22" workbookViewId="0">
      <selection activeCell="A48" sqref="A48"/>
    </sheetView>
  </sheetViews>
  <sheetFormatPr defaultRowHeight="15" x14ac:dyDescent="0.25"/>
  <cols>
    <col min="1" max="1" width="75.28515625" bestFit="1" customWidth="1"/>
  </cols>
  <sheetData>
    <row r="1" spans="1:2" x14ac:dyDescent="0.25">
      <c r="A1" t="s">
        <v>54</v>
      </c>
      <c r="B1">
        <v>6</v>
      </c>
    </row>
    <row r="2" spans="1:2" x14ac:dyDescent="0.25">
      <c r="A2" t="s">
        <v>55</v>
      </c>
      <c r="B2">
        <v>4</v>
      </c>
    </row>
    <row r="3" spans="1:2" x14ac:dyDescent="0.25">
      <c r="A3" t="s">
        <v>56</v>
      </c>
      <c r="B3">
        <v>6</v>
      </c>
    </row>
    <row r="4" spans="1:2" x14ac:dyDescent="0.25">
      <c r="A4" t="s">
        <v>57</v>
      </c>
      <c r="B4">
        <v>4</v>
      </c>
    </row>
    <row r="5" spans="1:2" x14ac:dyDescent="0.25">
      <c r="A5" t="s">
        <v>5</v>
      </c>
      <c r="B5">
        <v>3</v>
      </c>
    </row>
    <row r="6" spans="1:2" x14ac:dyDescent="0.25">
      <c r="A6" t="s">
        <v>6</v>
      </c>
      <c r="B6" t="s">
        <v>53</v>
      </c>
    </row>
    <row r="7" spans="1:2" x14ac:dyDescent="0.25">
      <c r="A7" t="s">
        <v>46</v>
      </c>
      <c r="B7">
        <v>3</v>
      </c>
    </row>
    <row r="8" spans="1:2" x14ac:dyDescent="0.25">
      <c r="A8" t="s">
        <v>47</v>
      </c>
      <c r="B8">
        <v>3</v>
      </c>
    </row>
    <row r="9" spans="1:2" x14ac:dyDescent="0.25">
      <c r="A9" t="s">
        <v>123</v>
      </c>
      <c r="B9">
        <v>2</v>
      </c>
    </row>
    <row r="10" spans="1:2" x14ac:dyDescent="0.25">
      <c r="A10" t="s">
        <v>48</v>
      </c>
      <c r="B10">
        <v>3</v>
      </c>
    </row>
    <row r="11" spans="1:2" x14ac:dyDescent="0.25">
      <c r="A11" t="s">
        <v>8</v>
      </c>
      <c r="B11">
        <v>3</v>
      </c>
    </row>
    <row r="12" spans="1:2" x14ac:dyDescent="0.25">
      <c r="A12" t="s">
        <v>9</v>
      </c>
      <c r="B12">
        <v>3</v>
      </c>
    </row>
    <row r="13" spans="1:2" x14ac:dyDescent="0.25">
      <c r="A13" t="s">
        <v>10</v>
      </c>
      <c r="B13">
        <v>3</v>
      </c>
    </row>
    <row r="14" spans="1:2" x14ac:dyDescent="0.25">
      <c r="A14" t="s">
        <v>11</v>
      </c>
      <c r="B14">
        <v>3</v>
      </c>
    </row>
    <row r="15" spans="1:2" x14ac:dyDescent="0.25">
      <c r="A15" t="s">
        <v>12</v>
      </c>
      <c r="B15">
        <v>3</v>
      </c>
    </row>
    <row r="16" spans="1:2" x14ac:dyDescent="0.25">
      <c r="A16" t="s">
        <v>14</v>
      </c>
      <c r="B16">
        <v>3</v>
      </c>
    </row>
    <row r="17" spans="1:2" x14ac:dyDescent="0.25">
      <c r="A17" t="s">
        <v>15</v>
      </c>
      <c r="B17">
        <v>3</v>
      </c>
    </row>
    <row r="18" spans="1:2" x14ac:dyDescent="0.25">
      <c r="A18" t="s">
        <v>16</v>
      </c>
      <c r="B18">
        <v>3</v>
      </c>
    </row>
    <row r="19" spans="1:2" x14ac:dyDescent="0.25">
      <c r="A19" t="s">
        <v>17</v>
      </c>
      <c r="B19">
        <v>3</v>
      </c>
    </row>
    <row r="20" spans="1:2" x14ac:dyDescent="0.25">
      <c r="A20" t="s">
        <v>19</v>
      </c>
      <c r="B20">
        <v>1</v>
      </c>
    </row>
    <row r="21" spans="1:2" x14ac:dyDescent="0.25">
      <c r="A21" t="s">
        <v>20</v>
      </c>
      <c r="B21">
        <v>1</v>
      </c>
    </row>
    <row r="22" spans="1:2" x14ac:dyDescent="0.25">
      <c r="A22" t="s">
        <v>31</v>
      </c>
      <c r="B22">
        <v>2</v>
      </c>
    </row>
    <row r="23" spans="1:2" x14ac:dyDescent="0.25">
      <c r="A23" t="s">
        <v>32</v>
      </c>
      <c r="B23">
        <v>2</v>
      </c>
    </row>
    <row r="24" spans="1:2" x14ac:dyDescent="0.25">
      <c r="A24" t="s">
        <v>33</v>
      </c>
      <c r="B24">
        <v>2</v>
      </c>
    </row>
    <row r="25" spans="1:2" x14ac:dyDescent="0.25">
      <c r="A25" t="s">
        <v>34</v>
      </c>
      <c r="B25">
        <v>2</v>
      </c>
    </row>
    <row r="26" spans="1:2" x14ac:dyDescent="0.25">
      <c r="A26" t="s">
        <v>35</v>
      </c>
      <c r="B26">
        <v>2</v>
      </c>
    </row>
    <row r="27" spans="1:2" x14ac:dyDescent="0.25">
      <c r="A27" t="s">
        <v>36</v>
      </c>
      <c r="B27">
        <v>2</v>
      </c>
    </row>
    <row r="28" spans="1:2" x14ac:dyDescent="0.25">
      <c r="A28" t="s">
        <v>59</v>
      </c>
      <c r="B28" t="s">
        <v>58</v>
      </c>
    </row>
    <row r="29" spans="1:2" x14ac:dyDescent="0.25">
      <c r="A29" t="s">
        <v>49</v>
      </c>
      <c r="B29">
        <v>1</v>
      </c>
    </row>
    <row r="30" spans="1:2" x14ac:dyDescent="0.25">
      <c r="A30" t="s">
        <v>22</v>
      </c>
      <c r="B30">
        <v>1</v>
      </c>
    </row>
    <row r="31" spans="1:2" x14ac:dyDescent="0.25">
      <c r="A31" t="s">
        <v>23</v>
      </c>
      <c r="B31">
        <v>1</v>
      </c>
    </row>
    <row r="32" spans="1:2" x14ac:dyDescent="0.25">
      <c r="A32" t="s">
        <v>24</v>
      </c>
      <c r="B32">
        <v>1</v>
      </c>
    </row>
    <row r="33" spans="1:2" x14ac:dyDescent="0.25">
      <c r="A33" t="s">
        <v>25</v>
      </c>
      <c r="B33">
        <v>1</v>
      </c>
    </row>
    <row r="34" spans="1:2" x14ac:dyDescent="0.25">
      <c r="A34" t="s">
        <v>26</v>
      </c>
      <c r="B34">
        <v>1</v>
      </c>
    </row>
    <row r="35" spans="1:2" x14ac:dyDescent="0.25">
      <c r="A35" t="s">
        <v>27</v>
      </c>
      <c r="B35">
        <v>1</v>
      </c>
    </row>
    <row r="36" spans="1:2" x14ac:dyDescent="0.25">
      <c r="A36" t="s">
        <v>28</v>
      </c>
      <c r="B36">
        <v>1</v>
      </c>
    </row>
    <row r="37" spans="1:2" x14ac:dyDescent="0.25">
      <c r="A37" t="s">
        <v>106</v>
      </c>
      <c r="B37">
        <v>1</v>
      </c>
    </row>
    <row r="38" spans="1:2" x14ac:dyDescent="0.25">
      <c r="A38" t="s">
        <v>116</v>
      </c>
      <c r="B38">
        <v>0.5</v>
      </c>
    </row>
    <row r="39" spans="1:2" x14ac:dyDescent="0.25">
      <c r="A39" t="s">
        <v>115</v>
      </c>
      <c r="B39">
        <v>0.5</v>
      </c>
    </row>
    <row r="40" spans="1:2" x14ac:dyDescent="0.25">
      <c r="A40" t="s">
        <v>108</v>
      </c>
      <c r="B40">
        <v>1</v>
      </c>
    </row>
    <row r="41" spans="1:2" x14ac:dyDescent="0.25">
      <c r="A41" t="s">
        <v>117</v>
      </c>
      <c r="B41">
        <v>1</v>
      </c>
    </row>
    <row r="42" spans="1:2" x14ac:dyDescent="0.25">
      <c r="A42" t="s">
        <v>118</v>
      </c>
      <c r="B42">
        <v>0.5</v>
      </c>
    </row>
    <row r="43" spans="1:2" x14ac:dyDescent="0.25">
      <c r="A43" t="s">
        <v>119</v>
      </c>
      <c r="B43">
        <v>0.5</v>
      </c>
    </row>
    <row r="44" spans="1:2" x14ac:dyDescent="0.25">
      <c r="A44" t="s">
        <v>107</v>
      </c>
      <c r="B44">
        <v>1</v>
      </c>
    </row>
    <row r="45" spans="1:2" x14ac:dyDescent="0.25">
      <c r="A45" t="s">
        <v>109</v>
      </c>
      <c r="B45">
        <v>1</v>
      </c>
    </row>
    <row r="46" spans="1:2" x14ac:dyDescent="0.25">
      <c r="A46" t="s">
        <v>110</v>
      </c>
      <c r="B46">
        <v>1</v>
      </c>
    </row>
    <row r="47" spans="1:2" x14ac:dyDescent="0.25">
      <c r="A47" t="s">
        <v>111</v>
      </c>
      <c r="B47">
        <v>1</v>
      </c>
    </row>
    <row r="48" spans="1:2" x14ac:dyDescent="0.25">
      <c r="A48" t="s">
        <v>112</v>
      </c>
      <c r="B48">
        <v>1</v>
      </c>
    </row>
    <row r="49" spans="1:2" x14ac:dyDescent="0.25">
      <c r="A49" t="s">
        <v>124</v>
      </c>
      <c r="B49">
        <v>2</v>
      </c>
    </row>
    <row r="50" spans="1:2" x14ac:dyDescent="0.25">
      <c r="A50" t="s">
        <v>125</v>
      </c>
      <c r="B5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Individualus planas</vt:lpstr>
      <vt:lpstr>Pasirašymui</vt:lpstr>
      <vt:lpstr>Parametrai</vt:lpstr>
      <vt:lpstr>A</vt:lpstr>
      <vt:lpstr>B</vt:lpstr>
      <vt:lpstr>Biologija</vt:lpstr>
      <vt:lpstr>Chemija</vt:lpstr>
      <vt:lpstr>Fizika</vt:lpstr>
      <vt:lpstr>Geografija</vt:lpstr>
      <vt:lpstr>Istorija</vt:lpstr>
      <vt:lpstr>'Individualus planas'!Print_Area</vt:lpstr>
      <vt:lpstr>Pasirašymui!Print_Area</vt:lpstr>
      <vt:lpstr>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Kovaliova</dc:creator>
  <cp:lastModifiedBy>Ina Kovaliova</cp:lastModifiedBy>
  <cp:lastPrinted>2024-04-24T06:44:16Z</cp:lastPrinted>
  <dcterms:created xsi:type="dcterms:W3CDTF">2023-02-28T06:43:39Z</dcterms:created>
  <dcterms:modified xsi:type="dcterms:W3CDTF">2024-04-24T11:35:48Z</dcterms:modified>
</cp:coreProperties>
</file>